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<sst xmlns="http://schemas.openxmlformats.org/spreadsheetml/2006/main" count="925" uniqueCount="849">
  <si>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</si>
  <si>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</si>
  <si>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</si>
  <si>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</si>
  <si>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</si>
  <si>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</si>
  <si>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</si>
  <si>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</si>
  <si>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</si>
  <si>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</si>
  <si>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</si>
  <si>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</si>
  <si>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</si>
  <si>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</si>
  <si>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</si>
  <si>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</si>
  <si>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</si>
  <si>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</si>
  <si>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</si>
  <si>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</si>
  <si>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</si>
  <si>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</si>
  <si>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</si>
  <si>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</si>
  <si>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</si>
  <si>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</si>
  <si>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</si>
  <si>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</si>
  <si>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</si>
  <si>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</si>
  <si>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</si>
  <si>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</si>
  <si>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</si>
  <si>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</si>
  <si>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</si>
  <si>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</si>
  <si>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</si>
  <si>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</si>
  <si>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</si>
  <si>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</si>
  <si>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</si>
  <si>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</si>
  <si>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</si>
  <si>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</si>
  <si>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</si>
  <si>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</si>
  <si>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</si>
  <si>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</si>
  <si>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</si>
  <si>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</si>
  <si>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</si>
  <si>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</si>
  <si>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</si>
  <si>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</si>
  <si>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</si>
  <si>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</si>
  <si>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</si>
  <si>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</si>
  <si>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</si>
  <si>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</si>
  <si>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</si>
  <si>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</si>
  <si>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</si>
  <si>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</si>
  <si>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</si>
  <si>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</si>
  <si>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</si>
  <si>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</si>
  <si>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</si>
  <si>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</si>
  <si>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</si>
  <si>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</si>
  <si>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</si>
  <si>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</si>
  <si>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</si>
  <si>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</si>
  <si>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</si>
  <si>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</si>
  <si>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</si>
  <si>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</si>
  <si>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</si>
  <si>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</si>
  <si>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</si>
  <si>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</si>
  <si>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</si>
  <si>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</si>
  <si>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</si>
  <si>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</si>
  <si>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</si>
  <si>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</si>
  <si>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</si>
  <si>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</si>
  <si>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</si>
  <si>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</si>
  <si>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</si>
  <si>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</si>
  <si>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</si>
  <si>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</si>
  <si>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</si>
  <si>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</si>
  <si>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</si>
  <si>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</si>
  <si>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</si>
  <si>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</si>
  <si>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</si>
  <si>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</si>
  <si>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</si>
  <si>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</si>
  <si>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</si>
  <si>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</si>
  <si>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</si>
  <si>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</si>
  <si>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</si>
  <si>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</si>
  <si>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</si>
  <si>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</si>
  <si>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</si>
  <si>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</si>
  <si>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</si>
  <si>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</si>
  <si>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</si>
  <si>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</si>
  <si>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</si>
  <si>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</si>
  <si>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</si>
  <si>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</si>
  <si>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</si>
  <si>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</si>
  <si>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</si>
  <si>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</si>
  <si>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</si>
  <si>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</si>
  <si>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</si>
  <si>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</si>
  <si>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</si>
  <si>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</si>
  <si>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</si>
  <si>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</si>
  <si>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</si>
  <si>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</si>
  <si>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</si>
  <si>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</si>
  <si>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</si>
  <si>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</si>
  <si>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</si>
  <si>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</si>
  <si>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</si>
  <si>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</si>
  <si>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</si>
  <si>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</si>
  <si>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</si>
  <si>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</si>
  <si>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</si>
  <si>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</si>
  <si>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</si>
  <si>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</si>
  <si>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</si>
  <si>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</si>
  <si>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</si>
  <si>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</si>
  <si>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</si>
  <si>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</si>
  <si>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</si>
  <si>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</si>
  <si>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</si>
  <si>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</si>
  <si>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</si>
  <si>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</si>
  <si>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</si>
  <si>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</si>
  <si>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</si>
  <si>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</si>
  <si>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</si>
  <si>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</si>
  <si>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</si>
  <si>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</si>
  <si>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</si>
  <si>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</si>
  <si>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</si>
  <si>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</si>
  <si>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</si>
  <si>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</si>
  <si>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Надійшло станом на 26.08.2015</t>
  </si>
  <si>
    <r>
      <t xml:space="preserve">Залишок коштів на рахунку на 26.08.2015 </t>
    </r>
    <r>
      <rPr>
        <b/>
        <sz val="9"/>
        <rFont val="Times New Roman"/>
        <family val="1"/>
      </rPr>
      <t>(без депозиту)</t>
    </r>
  </si>
  <si>
    <t>Розміщено на депозиті станом на 26.08.15</t>
  </si>
  <si>
    <t>Профінансовано на 26.08.2015</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</si>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</sst>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style="thin"/>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7"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7"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4"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7"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180" fontId="16" fillId="0" borderId="22" xfId="0" applyNumberFormat="1" applyFont="1" applyFill="1" applyBorder="1" applyAlignment="1">
      <alignment horizontal="center" vertical="top" wrapText="1"/>
    </xf>
    <xf numFmtId="180" fontId="16" fillId="0" borderId="24"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3" activePane="bottomLeft" state="frozen"/>
      <selection pane="topLeft" activeCell="B2" sqref="B2"/>
      <selection pane="bottomLeft" activeCell="W260" sqref="W260"/>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470</v>
      </c>
      <c r="B2" s="312" t="s">
        <v>471</v>
      </c>
      <c r="C2" s="313"/>
      <c r="D2" s="313"/>
      <c r="E2" s="313"/>
      <c r="F2" s="313"/>
      <c r="G2" s="313"/>
      <c r="H2" s="313"/>
      <c r="I2" s="314"/>
      <c r="J2" s="153" t="s">
        <v>472</v>
      </c>
      <c r="K2" s="151" t="s">
        <v>473</v>
      </c>
      <c r="L2" s="151" t="s">
        <v>474</v>
      </c>
      <c r="M2" s="154" t="s">
        <v>475</v>
      </c>
      <c r="N2" s="154" t="s">
        <v>476</v>
      </c>
      <c r="O2" s="154" t="s">
        <v>477</v>
      </c>
      <c r="P2" s="154" t="s">
        <v>478</v>
      </c>
      <c r="Q2" s="154" t="s">
        <v>479</v>
      </c>
      <c r="R2" s="154" t="s">
        <v>480</v>
      </c>
      <c r="S2" s="154" t="s">
        <v>481</v>
      </c>
      <c r="T2" s="154" t="s">
        <v>482</v>
      </c>
      <c r="U2" s="154" t="s">
        <v>483</v>
      </c>
      <c r="V2" s="154" t="s">
        <v>484</v>
      </c>
      <c r="W2" s="155" t="s">
        <v>182</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21" t="s">
        <v>175</v>
      </c>
      <c r="C3" s="322"/>
      <c r="D3" s="322"/>
      <c r="E3" s="322"/>
      <c r="F3" s="322"/>
      <c r="G3" s="322"/>
      <c r="H3" s="322"/>
      <c r="I3" s="323"/>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83.51+3.37+3.94+14.17+14.17+14.17+33333.33+6.44+1.49+15.16+7.14+5.34+4.99+58202.17+2.92+2.87+2.1+1.89+2.24+13.02+1.33+102221.53+3.57+1.68+4.5+6.18+0.95+2.5+10.2+4.96+1.09+5.88+6.14+340690.12+6.14+58258.03+0.32+14.6+5.37+2.1+11.64+3.45</f>
        <v>592996.71</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21" t="s">
        <v>711</v>
      </c>
      <c r="C4" s="322"/>
      <c r="D4" s="322"/>
      <c r="E4" s="322"/>
      <c r="F4" s="322"/>
      <c r="G4" s="322"/>
      <c r="H4" s="322"/>
      <c r="I4" s="323"/>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1984185.93+2150+50146.77+44775.5+6558+379691.64+45636.88+645446.65+24212.89+74276+5759+43525+43487.78+2150+9000+108879.56+93793+16087+117503.27+2150+43403.56</f>
        <v>3742818.4299999997</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21" t="s">
        <v>712</v>
      </c>
      <c r="C5" s="322"/>
      <c r="D5" s="322"/>
      <c r="E5" s="322"/>
      <c r="F5" s="322"/>
      <c r="G5" s="322"/>
      <c r="H5" s="322"/>
      <c r="I5" s="323"/>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1667982.6+217.81+219.81+149998+219.81+20000</f>
        <v>1838638.0300000003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24" t="s">
        <v>485</v>
      </c>
      <c r="C6" s="325"/>
      <c r="D6" s="325"/>
      <c r="E6" s="325"/>
      <c r="F6" s="325"/>
      <c r="G6" s="325"/>
      <c r="H6" s="325"/>
      <c r="I6" s="326"/>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6174453.17</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30" t="s">
        <v>713</v>
      </c>
      <c r="C7" s="331"/>
      <c r="D7" s="331"/>
      <c r="E7" s="331"/>
      <c r="F7" s="331"/>
      <c r="G7" s="331"/>
      <c r="H7" s="331"/>
      <c r="I7" s="332"/>
      <c r="J7" s="159">
        <f>91632102.35+248250+2500000+15600+14434+4358-27000+978255.41+13590138.53</f>
        <v>108956138.28999999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500878.57+20883789.29+13803976.79+7506813.9+1188+2189400+1188+1247644.51+22646.7+28851.3+18786615.38+13748459.7</f>
        <v>78721452.14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30" t="s">
        <v>714</v>
      </c>
      <c r="C8" s="331"/>
      <c r="D8" s="331"/>
      <c r="E8" s="331"/>
      <c r="F8" s="331"/>
      <c r="G8" s="331"/>
      <c r="H8" s="331"/>
      <c r="I8" s="332"/>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42" t="s">
        <v>357</v>
      </c>
      <c r="C9" s="343"/>
      <c r="D9" s="343"/>
      <c r="E9" s="343"/>
      <c r="F9" s="343"/>
      <c r="G9" s="343"/>
      <c r="H9" s="343"/>
      <c r="I9" s="344"/>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27" t="s">
        <v>486</v>
      </c>
      <c r="C10" s="328"/>
      <c r="D10" s="328"/>
      <c r="E10" s="328"/>
      <c r="F10" s="328"/>
      <c r="G10" s="328"/>
      <c r="H10" s="328"/>
      <c r="I10" s="329"/>
      <c r="J10" s="166">
        <f>J6+J7+J8+J9</f>
        <v>126935177.28999999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85685553.61</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18" t="s">
        <v>487</v>
      </c>
      <c r="C11" s="319"/>
      <c r="D11" s="319"/>
      <c r="E11" s="319"/>
      <c r="F11" s="319"/>
      <c r="G11" s="319"/>
      <c r="H11" s="319"/>
      <c r="I11" s="320"/>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15" t="s">
        <v>183</v>
      </c>
      <c r="C12" s="316"/>
      <c r="D12" s="316"/>
      <c r="E12" s="316"/>
      <c r="F12" s="316"/>
      <c r="G12" s="316"/>
      <c r="H12" s="316"/>
      <c r="I12" s="317"/>
      <c r="J12" s="172">
        <f>J11+W10-W781-J13</f>
        <v>2879903.0700000226</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368" t="s">
        <v>184</v>
      </c>
      <c r="C13" s="369"/>
      <c r="D13" s="369"/>
      <c r="E13" s="369"/>
      <c r="F13" s="369"/>
      <c r="G13" s="369"/>
      <c r="H13" s="369"/>
      <c r="I13" s="370"/>
      <c r="J13" s="172">
        <f>50132318.17+85000000+31800508.45-5000000</f>
        <v>161932826.62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833</v>
      </c>
      <c r="C15" s="193" t="s">
        <v>826</v>
      </c>
      <c r="D15" s="193" t="s">
        <v>814</v>
      </c>
      <c r="E15" s="194" t="s">
        <v>762</v>
      </c>
      <c r="F15" s="194" t="s">
        <v>828</v>
      </c>
      <c r="G15" s="194" t="s">
        <v>829</v>
      </c>
      <c r="H15" s="194" t="s">
        <v>830</v>
      </c>
      <c r="I15" s="194" t="s">
        <v>834</v>
      </c>
      <c r="J15" s="195" t="s">
        <v>292</v>
      </c>
      <c r="K15" s="196" t="s">
        <v>150</v>
      </c>
      <c r="L15" s="196" t="s">
        <v>151</v>
      </c>
      <c r="M15" s="196" t="s">
        <v>152</v>
      </c>
      <c r="N15" s="196" t="s">
        <v>153</v>
      </c>
      <c r="O15" s="196" t="s">
        <v>154</v>
      </c>
      <c r="P15" s="196" t="s">
        <v>155</v>
      </c>
      <c r="Q15" s="196" t="s">
        <v>156</v>
      </c>
      <c r="R15" s="196" t="s">
        <v>157</v>
      </c>
      <c r="S15" s="196" t="s">
        <v>158</v>
      </c>
      <c r="T15" s="196" t="s">
        <v>159</v>
      </c>
      <c r="U15" s="196" t="s">
        <v>160</v>
      </c>
      <c r="V15" s="196" t="s">
        <v>161</v>
      </c>
      <c r="W15" s="196" t="s">
        <v>185</v>
      </c>
      <c r="X15" s="196" t="s">
        <v>488</v>
      </c>
    </row>
    <row r="16" spans="1:24" s="8" customFormat="1" ht="15.75">
      <c r="A16" s="7"/>
      <c r="B16" s="197"/>
      <c r="C16" s="198"/>
      <c r="D16" s="348" t="s">
        <v>720</v>
      </c>
      <c r="E16" s="349"/>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183">
        <f>K16+L16+M16+N16+O16+P16+Q16+R16-W16</f>
        <v>1862285</v>
      </c>
    </row>
    <row r="17" spans="1:24" s="8" customFormat="1" ht="15.75">
      <c r="A17" s="7"/>
      <c r="B17" s="350" t="s">
        <v>827</v>
      </c>
      <c r="C17" s="350" t="s">
        <v>825</v>
      </c>
      <c r="D17" s="337" t="s">
        <v>109</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139667.13</v>
      </c>
      <c r="X17" s="202">
        <f>K17+L17+M17+N17+O17+P17+Q17+R17-W17</f>
        <v>1162285</v>
      </c>
    </row>
    <row r="18" spans="1:24" s="8" customFormat="1" ht="63">
      <c r="A18" s="7"/>
      <c r="B18" s="350"/>
      <c r="C18" s="350"/>
      <c r="D18" s="338"/>
      <c r="E18" s="54" t="s">
        <v>110</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350"/>
      <c r="C19" s="350"/>
      <c r="D19" s="338"/>
      <c r="E19" s="28" t="s">
        <v>632</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350"/>
      <c r="C20" s="350"/>
      <c r="D20" s="338"/>
      <c r="E20" s="28" t="s">
        <v>633</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350"/>
      <c r="C21" s="350"/>
      <c r="D21" s="338"/>
      <c r="E21" s="28" t="s">
        <v>634</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350"/>
      <c r="C22" s="350"/>
      <c r="D22" s="338"/>
      <c r="E22" s="28" t="s">
        <v>635</v>
      </c>
      <c r="F22" s="55"/>
      <c r="G22" s="56"/>
      <c r="H22" s="224"/>
      <c r="I22" s="258">
        <v>3110</v>
      </c>
      <c r="J22" s="49">
        <v>290000</v>
      </c>
      <c r="K22" s="147"/>
      <c r="L22" s="147"/>
      <c r="M22" s="147"/>
      <c r="N22" s="147"/>
      <c r="O22" s="147">
        <v>290000</v>
      </c>
      <c r="P22" s="147"/>
      <c r="Q22" s="147"/>
      <c r="R22" s="147"/>
      <c r="S22" s="147"/>
      <c r="T22" s="147"/>
      <c r="U22" s="147"/>
      <c r="V22" s="147"/>
      <c r="W22" s="147">
        <f>42372+25343</f>
        <v>67715</v>
      </c>
      <c r="X22" s="221">
        <f t="shared" si="4"/>
        <v>222285</v>
      </c>
    </row>
    <row r="23" spans="1:24" s="8" customFormat="1" ht="78.75">
      <c r="A23" s="7"/>
      <c r="B23" s="350"/>
      <c r="C23" s="350"/>
      <c r="D23" s="338"/>
      <c r="E23" s="28" t="s">
        <v>383</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350"/>
      <c r="C24" s="350"/>
      <c r="D24" s="338"/>
      <c r="E24" s="28" t="s">
        <v>384</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350"/>
      <c r="C25" s="350"/>
      <c r="D25" s="338"/>
      <c r="E25" s="28" t="s">
        <v>385</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350"/>
      <c r="C26" s="350"/>
      <c r="D26" s="339"/>
      <c r="E26" s="28" t="s">
        <v>636</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40" t="s">
        <v>765</v>
      </c>
      <c r="C27" s="340" t="s">
        <v>51</v>
      </c>
      <c r="D27" s="335" t="s">
        <v>774</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41"/>
      <c r="C28" s="341"/>
      <c r="D28" s="336"/>
      <c r="E28" s="28" t="s">
        <v>634</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59" t="s">
        <v>637</v>
      </c>
      <c r="E29" s="360"/>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371" t="s">
        <v>827</v>
      </c>
      <c r="C30" s="371" t="s">
        <v>825</v>
      </c>
      <c r="D30" s="337" t="s">
        <v>109</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372"/>
      <c r="C31" s="372"/>
      <c r="D31" s="338"/>
      <c r="E31" s="28" t="s">
        <v>823</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372"/>
      <c r="C32" s="372"/>
      <c r="D32" s="338"/>
      <c r="E32" s="31" t="s">
        <v>638</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372"/>
      <c r="C33" s="372"/>
      <c r="D33" s="338"/>
      <c r="E33" s="31" t="s">
        <v>318</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73"/>
      <c r="C34" s="373"/>
      <c r="D34" s="339"/>
      <c r="E34" s="31" t="s">
        <v>319</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48" t="s">
        <v>361</v>
      </c>
      <c r="E35" s="349"/>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13104573.430000002</v>
      </c>
      <c r="X35" s="221">
        <f t="shared" si="4"/>
        <v>23999700.860000007</v>
      </c>
    </row>
    <row r="36" spans="2:24" ht="15.75">
      <c r="B36" s="297" t="s">
        <v>766</v>
      </c>
      <c r="C36" s="297" t="s">
        <v>111</v>
      </c>
      <c r="D36" s="337" t="s">
        <v>438</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3937561.899999999</v>
      </c>
      <c r="X36" s="221">
        <f t="shared" si="4"/>
        <v>10346604.620000001</v>
      </c>
    </row>
    <row r="37" spans="2:24" ht="63">
      <c r="B37" s="298"/>
      <c r="C37" s="298"/>
      <c r="D37" s="338"/>
      <c r="E37" s="280" t="s">
        <v>643</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298"/>
      <c r="C38" s="298"/>
      <c r="D38" s="338"/>
      <c r="E38" s="285" t="s">
        <v>112</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298"/>
      <c r="C39" s="298"/>
      <c r="D39" s="338"/>
      <c r="E39" s="280" t="s">
        <v>113</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298"/>
      <c r="C40" s="298"/>
      <c r="D40" s="338"/>
      <c r="E40" s="281" t="s">
        <v>114</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298"/>
      <c r="C41" s="298"/>
      <c r="D41" s="338"/>
      <c r="E41" s="281" t="s">
        <v>115</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298"/>
      <c r="C42" s="298"/>
      <c r="D42" s="338"/>
      <c r="E42" s="281" t="s">
        <v>116</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298"/>
      <c r="C43" s="298"/>
      <c r="D43" s="338"/>
      <c r="E43" s="281" t="s">
        <v>117</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298"/>
      <c r="C44" s="298"/>
      <c r="D44" s="338"/>
      <c r="E44" s="281" t="s">
        <v>118</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298"/>
      <c r="C45" s="298"/>
      <c r="D45" s="338"/>
      <c r="E45" s="281" t="s">
        <v>119</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298"/>
      <c r="C46" s="298"/>
      <c r="D46" s="338"/>
      <c r="E46" s="281" t="s">
        <v>120</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298"/>
      <c r="C47" s="298"/>
      <c r="D47" s="338"/>
      <c r="E47" s="281" t="s">
        <v>275</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298"/>
      <c r="C48" s="298"/>
      <c r="D48" s="338"/>
      <c r="E48" s="281" t="s">
        <v>276</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298"/>
      <c r="C49" s="298"/>
      <c r="D49" s="338"/>
      <c r="E49" s="281" t="s">
        <v>277</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298"/>
      <c r="C50" s="298"/>
      <c r="D50" s="338"/>
      <c r="E50" s="281" t="s">
        <v>278</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298"/>
      <c r="C51" s="298"/>
      <c r="D51" s="338"/>
      <c r="E51" s="281" t="s">
        <v>82</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298"/>
      <c r="C52" s="298"/>
      <c r="D52" s="338"/>
      <c r="E52" s="281" t="s">
        <v>83</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298"/>
      <c r="C53" s="298"/>
      <c r="D53" s="338"/>
      <c r="E53" s="281" t="s">
        <v>84</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298"/>
      <c r="C54" s="298"/>
      <c r="D54" s="338"/>
      <c r="E54" s="281" t="s">
        <v>85</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298"/>
      <c r="C55" s="298"/>
      <c r="D55" s="338"/>
      <c r="E55" s="280" t="s">
        <v>86</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298"/>
      <c r="C56" s="298"/>
      <c r="D56" s="338"/>
      <c r="E56" s="286" t="s">
        <v>87</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298"/>
      <c r="C57" s="298"/>
      <c r="D57" s="338"/>
      <c r="E57" s="287" t="s">
        <v>88</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298"/>
      <c r="C58" s="298"/>
      <c r="D58" s="338"/>
      <c r="E58" s="286" t="s">
        <v>89</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298"/>
      <c r="C59" s="298"/>
      <c r="D59" s="338"/>
      <c r="E59" s="287" t="s">
        <v>90</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298"/>
      <c r="C60" s="298"/>
      <c r="D60" s="338"/>
      <c r="E60" s="287" t="s">
        <v>560</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298"/>
      <c r="C61" s="298"/>
      <c r="D61" s="338"/>
      <c r="E61" s="279" t="s">
        <v>733</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298"/>
      <c r="C62" s="298"/>
      <c r="D62" s="338"/>
      <c r="E62" s="286" t="s">
        <v>734</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298"/>
      <c r="C63" s="298"/>
      <c r="D63" s="338"/>
      <c r="E63" s="286" t="s">
        <v>735</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298"/>
      <c r="C64" s="298"/>
      <c r="D64" s="338"/>
      <c r="E64" s="286" t="s">
        <v>736</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298"/>
      <c r="C65" s="298"/>
      <c r="D65" s="338"/>
      <c r="E65" s="286" t="s">
        <v>775</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298"/>
      <c r="C66" s="298"/>
      <c r="D66" s="338"/>
      <c r="E66" s="286" t="s">
        <v>293</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298"/>
      <c r="C67" s="298"/>
      <c r="D67" s="338"/>
      <c r="E67" s="287" t="s">
        <v>294</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298"/>
      <c r="C68" s="298"/>
      <c r="D68" s="338"/>
      <c r="E68" s="287" t="s">
        <v>448</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298"/>
      <c r="C69" s="298"/>
      <c r="D69" s="338"/>
      <c r="E69" s="286" t="s">
        <v>449</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298"/>
      <c r="C70" s="298"/>
      <c r="D70" s="338"/>
      <c r="E70" s="31" t="s">
        <v>584</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298"/>
      <c r="C71" s="298"/>
      <c r="D71" s="338"/>
      <c r="E71" s="31" t="s">
        <v>102</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298"/>
      <c r="C72" s="298"/>
      <c r="D72" s="338"/>
      <c r="E72" s="31" t="s">
        <v>644</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298"/>
      <c r="C73" s="298"/>
      <c r="D73" s="338"/>
      <c r="E73" s="31" t="s">
        <v>645</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298"/>
      <c r="C74" s="298"/>
      <c r="D74" s="338"/>
      <c r="E74" s="31" t="s">
        <v>104</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298"/>
      <c r="C75" s="298"/>
      <c r="D75" s="338"/>
      <c r="E75" s="31" t="s">
        <v>646</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298"/>
      <c r="C76" s="298"/>
      <c r="D76" s="338"/>
      <c r="E76" s="31" t="s">
        <v>647</v>
      </c>
      <c r="F76" s="45"/>
      <c r="G76" s="46"/>
      <c r="H76" s="227"/>
      <c r="I76" s="260">
        <v>3132</v>
      </c>
      <c r="J76" s="9">
        <v>100000</v>
      </c>
      <c r="K76" s="210"/>
      <c r="L76" s="210"/>
      <c r="M76" s="210"/>
      <c r="N76" s="210"/>
      <c r="O76" s="210">
        <v>10000</v>
      </c>
      <c r="P76" s="210"/>
      <c r="Q76" s="210">
        <v>10000</v>
      </c>
      <c r="R76" s="210">
        <v>80000</v>
      </c>
      <c r="S76" s="210"/>
      <c r="T76" s="210"/>
      <c r="U76" s="210"/>
      <c r="V76" s="210"/>
      <c r="W76" s="147">
        <f>2151+4951.8</f>
        <v>7102.8</v>
      </c>
      <c r="X76" s="221">
        <f t="shared" si="4"/>
        <v>92897.2</v>
      </c>
    </row>
    <row r="77" spans="2:24" ht="47.25">
      <c r="B77" s="298"/>
      <c r="C77" s="298"/>
      <c r="D77" s="338"/>
      <c r="E77" s="31" t="s">
        <v>499</v>
      </c>
      <c r="F77" s="45"/>
      <c r="G77" s="46"/>
      <c r="H77" s="227"/>
      <c r="I77" s="260">
        <v>3132</v>
      </c>
      <c r="J77" s="9">
        <v>150000</v>
      </c>
      <c r="K77" s="210"/>
      <c r="L77" s="210"/>
      <c r="M77" s="210"/>
      <c r="N77" s="210"/>
      <c r="O77" s="210">
        <v>10000</v>
      </c>
      <c r="P77" s="210"/>
      <c r="Q77" s="210">
        <v>42000</v>
      </c>
      <c r="R77" s="210">
        <v>98000</v>
      </c>
      <c r="S77" s="210"/>
      <c r="T77" s="210"/>
      <c r="U77" s="210"/>
      <c r="V77" s="210"/>
      <c r="W77" s="147">
        <f>2556+72592</f>
        <v>75148</v>
      </c>
      <c r="X77" s="221">
        <f t="shared" si="4"/>
        <v>74852</v>
      </c>
    </row>
    <row r="78" spans="2:24" ht="47.25">
      <c r="B78" s="298"/>
      <c r="C78" s="298"/>
      <c r="D78" s="338"/>
      <c r="E78" s="31" t="s">
        <v>500</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298"/>
      <c r="C79" s="298"/>
      <c r="D79" s="338"/>
      <c r="E79" s="31" t="s">
        <v>501</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298"/>
      <c r="C80" s="298"/>
      <c r="D80" s="338"/>
      <c r="E80" s="31" t="s">
        <v>502</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10732.8+21465.6+13537.02+3900+7800</f>
        <v>57435.42</v>
      </c>
      <c r="X80" s="221">
        <f t="shared" si="4"/>
        <v>2597564.58</v>
      </c>
    </row>
    <row r="81" spans="2:24" ht="31.5">
      <c r="B81" s="298"/>
      <c r="C81" s="298"/>
      <c r="D81" s="338"/>
      <c r="E81" s="31" t="s">
        <v>640</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298"/>
      <c r="C82" s="298"/>
      <c r="D82" s="338"/>
      <c r="E82" s="31" t="s">
        <v>503</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298"/>
      <c r="C83" s="298"/>
      <c r="D83" s="338"/>
      <c r="E83" s="12" t="s">
        <v>649</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298"/>
      <c r="C84" s="298"/>
      <c r="D84" s="338"/>
      <c r="E84" s="12" t="s">
        <v>324</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298"/>
      <c r="C85" s="298"/>
      <c r="D85" s="338"/>
      <c r="E85" s="12" t="s">
        <v>325</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298"/>
      <c r="C86" s="298"/>
      <c r="D86" s="338"/>
      <c r="E86" s="12" t="s">
        <v>323</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298"/>
      <c r="C87" s="298"/>
      <c r="D87" s="338"/>
      <c r="E87" s="12" t="s">
        <v>847</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298"/>
      <c r="C88" s="298"/>
      <c r="D88" s="338"/>
      <c r="E88" s="31" t="s">
        <v>848</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298"/>
      <c r="C89" s="298"/>
      <c r="D89" s="338"/>
      <c r="E89" s="31" t="s">
        <v>626</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298"/>
      <c r="C90" s="298"/>
      <c r="D90" s="338"/>
      <c r="E90" s="31" t="s">
        <v>194</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f>2556+399344.4</f>
        <v>401900.4</v>
      </c>
      <c r="X90" s="221">
        <f t="shared" si="10"/>
        <v>198099.59999999998</v>
      </c>
    </row>
    <row r="91" spans="2:24" ht="15.75">
      <c r="B91" s="298"/>
      <c r="C91" s="298"/>
      <c r="D91" s="338"/>
      <c r="E91" s="65" t="s">
        <v>195</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298"/>
      <c r="C92" s="298"/>
      <c r="D92" s="338"/>
      <c r="E92" s="65" t="s">
        <v>504</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298"/>
      <c r="C93" s="298"/>
      <c r="D93" s="338"/>
      <c r="E93" s="67" t="s">
        <v>505</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f>2130+36451.8</f>
        <v>38581.8</v>
      </c>
      <c r="X93" s="221">
        <f t="shared" si="10"/>
        <v>16418.199999999997</v>
      </c>
    </row>
    <row r="94" spans="2:24" ht="47.25">
      <c r="B94" s="298"/>
      <c r="C94" s="298"/>
      <c r="D94" s="338"/>
      <c r="E94" s="68" t="s">
        <v>506</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298"/>
      <c r="C95" s="298"/>
      <c r="D95" s="338"/>
      <c r="E95" s="67" t="s">
        <v>507</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298"/>
      <c r="C96" s="298"/>
      <c r="D96" s="338"/>
      <c r="E96" s="67" t="s">
        <v>673</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298"/>
      <c r="C97" s="298"/>
      <c r="D97" s="338"/>
      <c r="E97" s="31" t="s">
        <v>674</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298"/>
      <c r="C98" s="298"/>
      <c r="D98" s="338"/>
      <c r="E98" s="31" t="s">
        <v>675</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f>21530+120000</f>
        <v>141530</v>
      </c>
      <c r="X98" s="221">
        <f t="shared" si="10"/>
        <v>78470</v>
      </c>
    </row>
    <row r="99" spans="2:24" ht="31.5">
      <c r="B99" s="298"/>
      <c r="C99" s="298"/>
      <c r="D99" s="338"/>
      <c r="E99" s="31" t="s">
        <v>676</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298"/>
      <c r="C100" s="298"/>
      <c r="D100" s="338"/>
      <c r="E100" s="31" t="s">
        <v>677</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298"/>
      <c r="C101" s="298"/>
      <c r="D101" s="338"/>
      <c r="E101" s="64" t="s">
        <v>678</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f>84665</f>
        <v>84665</v>
      </c>
      <c r="X101" s="221">
        <f t="shared" si="10"/>
        <v>77735</v>
      </c>
    </row>
    <row r="102" spans="2:24" ht="47.25">
      <c r="B102" s="298"/>
      <c r="C102" s="298"/>
      <c r="D102" s="338"/>
      <c r="E102" s="64" t="s">
        <v>679</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298"/>
      <c r="C103" s="298"/>
      <c r="D103" s="338"/>
      <c r="E103" s="31" t="s">
        <v>718</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298"/>
      <c r="C104" s="298"/>
      <c r="D104" s="338"/>
      <c r="E104" s="69" t="s">
        <v>719</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f>2340.59+5461.39</f>
        <v>7801.9800000000005</v>
      </c>
      <c r="X104" s="221">
        <f t="shared" si="10"/>
        <v>62198.02</v>
      </c>
    </row>
    <row r="105" spans="2:24" ht="63">
      <c r="B105" s="298"/>
      <c r="C105" s="298"/>
      <c r="D105" s="338"/>
      <c r="E105" s="69" t="s">
        <v>301</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f>2468.52+5579.88</f>
        <v>8048.4</v>
      </c>
      <c r="X105" s="221">
        <f t="shared" si="10"/>
        <v>235951.6</v>
      </c>
    </row>
    <row r="106" spans="2:24" ht="63">
      <c r="B106" s="298"/>
      <c r="C106" s="298"/>
      <c r="D106" s="338"/>
      <c r="E106" s="31" t="s">
        <v>512</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298"/>
      <c r="C107" s="298"/>
      <c r="D107" s="338"/>
      <c r="E107" s="31" t="s">
        <v>513</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298"/>
      <c r="C108" s="298"/>
      <c r="D108" s="338"/>
      <c r="E108" s="31" t="s">
        <v>514</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298"/>
      <c r="C109" s="298"/>
      <c r="D109" s="338"/>
      <c r="E109" s="31" t="s">
        <v>18</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298"/>
      <c r="C110" s="298"/>
      <c r="D110" s="338"/>
      <c r="E110" s="31" t="s">
        <v>3</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298"/>
      <c r="C111" s="298"/>
      <c r="D111" s="338"/>
      <c r="E111" s="31" t="s">
        <v>724</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2556+194972</f>
        <v>197528</v>
      </c>
      <c r="X111" s="221">
        <f t="shared" si="10"/>
        <v>129472</v>
      </c>
    </row>
    <row r="112" spans="2:24" ht="47.25">
      <c r="B112" s="298"/>
      <c r="C112" s="298"/>
      <c r="D112" s="338"/>
      <c r="E112" s="31" t="s">
        <v>732</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298"/>
      <c r="C113" s="298"/>
      <c r="D113" s="338"/>
      <c r="E113" s="31" t="s">
        <v>240</v>
      </c>
      <c r="F113" s="49"/>
      <c r="G113" s="18"/>
      <c r="H113" s="231"/>
      <c r="I113" s="260">
        <v>3132</v>
      </c>
      <c r="J113" s="21">
        <v>350000</v>
      </c>
      <c r="K113" s="210"/>
      <c r="L113" s="210"/>
      <c r="M113" s="210"/>
      <c r="N113" s="210"/>
      <c r="O113" s="210">
        <v>10000</v>
      </c>
      <c r="P113" s="210"/>
      <c r="Q113" s="210">
        <v>340000</v>
      </c>
      <c r="R113" s="210"/>
      <c r="S113" s="210"/>
      <c r="T113" s="210"/>
      <c r="U113" s="210"/>
      <c r="V113" s="210"/>
      <c r="W113" s="147">
        <f>2151+4839</f>
        <v>6990</v>
      </c>
      <c r="X113" s="221">
        <f t="shared" si="10"/>
        <v>343010</v>
      </c>
    </row>
    <row r="114" spans="2:24" ht="31.5">
      <c r="B114" s="298"/>
      <c r="C114" s="298"/>
      <c r="D114" s="338"/>
      <c r="E114" s="31" t="s">
        <v>241</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1915.2+1915.2-1915.2+4468.8</f>
        <v>6384</v>
      </c>
      <c r="X114" s="221">
        <f t="shared" si="10"/>
        <v>167616</v>
      </c>
    </row>
    <row r="115" spans="2:24" ht="78.75">
      <c r="B115" s="298"/>
      <c r="C115" s="298"/>
      <c r="D115" s="338"/>
      <c r="E115" s="31" t="s">
        <v>242</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298"/>
      <c r="C116" s="298"/>
      <c r="D116" s="338"/>
      <c r="E116" s="31" t="s">
        <v>243</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23099-23099+131000</f>
        <v>131000</v>
      </c>
      <c r="X116" s="221">
        <f t="shared" si="10"/>
        <v>113000</v>
      </c>
    </row>
    <row r="117" spans="2:24" ht="47.25">
      <c r="B117" s="298"/>
      <c r="C117" s="298"/>
      <c r="D117" s="338"/>
      <c r="E117" s="31" t="s">
        <v>547</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1518.82+1162.64+14272.8</f>
        <v>16954.26</v>
      </c>
      <c r="X117" s="221">
        <f t="shared" si="10"/>
        <v>103045.74</v>
      </c>
    </row>
    <row r="118" spans="2:24" ht="31.5">
      <c r="B118" s="298"/>
      <c r="C118" s="298"/>
      <c r="D118" s="338"/>
      <c r="E118" s="31" t="s">
        <v>548</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298"/>
      <c r="C119" s="298"/>
      <c r="D119" s="338"/>
      <c r="E119" s="31" t="s">
        <v>414</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298"/>
      <c r="C120" s="298"/>
      <c r="D120" s="338"/>
      <c r="E120" s="31" t="s">
        <v>727</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298"/>
      <c r="C121" s="298"/>
      <c r="D121" s="338"/>
      <c r="E121" s="31" t="s">
        <v>728</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298"/>
      <c r="C122" s="298"/>
      <c r="D122" s="338"/>
      <c r="E122" s="31" t="s">
        <v>729</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298"/>
      <c r="C123" s="298"/>
      <c r="D123" s="338"/>
      <c r="E123" s="31" t="s">
        <v>389</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298"/>
      <c r="C124" s="298"/>
      <c r="D124" s="339"/>
      <c r="E124" s="31" t="s">
        <v>549</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297" t="s">
        <v>767</v>
      </c>
      <c r="C125" s="297" t="s">
        <v>780</v>
      </c>
      <c r="D125" s="308" t="s">
        <v>779</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5237913.180000002</v>
      </c>
      <c r="X125" s="221">
        <f t="shared" si="10"/>
        <v>9061421.589999998</v>
      </c>
    </row>
    <row r="126" spans="2:24" ht="78.75">
      <c r="B126" s="298"/>
      <c r="C126" s="298"/>
      <c r="D126" s="309"/>
      <c r="E126" s="279" t="s">
        <v>550</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298"/>
      <c r="C127" s="298"/>
      <c r="D127" s="309"/>
      <c r="E127" s="280" t="s">
        <v>551</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298"/>
      <c r="C128" s="298"/>
      <c r="D128" s="309"/>
      <c r="E128" s="281" t="s">
        <v>305</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298"/>
      <c r="C129" s="298"/>
      <c r="D129" s="309"/>
      <c r="E129" s="282" t="s">
        <v>306</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298"/>
      <c r="C130" s="298"/>
      <c r="D130" s="309"/>
      <c r="E130" s="283" t="s">
        <v>307</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298"/>
      <c r="C131" s="298"/>
      <c r="D131" s="309"/>
      <c r="E131" s="283" t="s">
        <v>308</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298"/>
      <c r="C132" s="298"/>
      <c r="D132" s="309"/>
      <c r="E132" s="283" t="s">
        <v>309</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298"/>
      <c r="C133" s="298"/>
      <c r="D133" s="309"/>
      <c r="E133" s="283" t="s">
        <v>310</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298"/>
      <c r="C134" s="298"/>
      <c r="D134" s="309"/>
      <c r="E134" s="283" t="s">
        <v>64</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298"/>
      <c r="C135" s="298"/>
      <c r="D135" s="309"/>
      <c r="E135" s="283" t="s">
        <v>65</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298"/>
      <c r="C136" s="298"/>
      <c r="D136" s="309"/>
      <c r="E136" s="280" t="s">
        <v>66</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298"/>
      <c r="C137" s="298"/>
      <c r="D137" s="309"/>
      <c r="E137" s="284" t="s">
        <v>67</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298"/>
      <c r="C138" s="298"/>
      <c r="D138" s="309"/>
      <c r="E138" s="285" t="s">
        <v>68</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298"/>
      <c r="C139" s="298"/>
      <c r="D139" s="309"/>
      <c r="E139" s="285" t="s">
        <v>69</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298"/>
      <c r="C140" s="298"/>
      <c r="D140" s="309"/>
      <c r="E140" s="280" t="s">
        <v>70</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298"/>
      <c r="C141" s="298"/>
      <c r="D141" s="309"/>
      <c r="E141" s="281" t="s">
        <v>71</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298"/>
      <c r="C142" s="298"/>
      <c r="D142" s="309"/>
      <c r="E142" s="281" t="s">
        <v>72</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298"/>
      <c r="C143" s="298"/>
      <c r="D143" s="309"/>
      <c r="E143" s="281" t="s">
        <v>73</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298"/>
      <c r="C144" s="298"/>
      <c r="D144" s="309"/>
      <c r="E144" s="281" t="s">
        <v>74</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298"/>
      <c r="C145" s="298"/>
      <c r="D145" s="309"/>
      <c r="E145" s="280" t="s">
        <v>75</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298"/>
      <c r="C146" s="298"/>
      <c r="D146" s="309"/>
      <c r="E146" s="280" t="s">
        <v>76</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298"/>
      <c r="C147" s="298"/>
      <c r="D147" s="309"/>
      <c r="E147" s="281" t="s">
        <v>77</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298"/>
      <c r="C148" s="298"/>
      <c r="D148" s="309"/>
      <c r="E148" s="281" t="s">
        <v>78</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298"/>
      <c r="C149" s="298"/>
      <c r="D149" s="309"/>
      <c r="E149" s="280" t="s">
        <v>79</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298"/>
      <c r="C150" s="298"/>
      <c r="D150" s="309"/>
      <c r="E150" s="285" t="s">
        <v>61</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298"/>
      <c r="C151" s="298"/>
      <c r="D151" s="309"/>
      <c r="E151" s="279" t="s">
        <v>5</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298"/>
      <c r="C152" s="298"/>
      <c r="D152" s="309"/>
      <c r="E152" s="284" t="s">
        <v>6</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298"/>
      <c r="C153" s="298"/>
      <c r="D153" s="309"/>
      <c r="E153" s="285" t="s">
        <v>7</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298"/>
      <c r="C154" s="298"/>
      <c r="D154" s="309"/>
      <c r="E154" s="285" t="s">
        <v>526</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298"/>
      <c r="C155" s="298"/>
      <c r="D155" s="309"/>
      <c r="E155" s="285" t="s">
        <v>527</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298"/>
      <c r="C156" s="298"/>
      <c r="D156" s="309"/>
      <c r="E156" s="285" t="s">
        <v>528</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298"/>
      <c r="C157" s="298"/>
      <c r="D157" s="309"/>
      <c r="E157" s="280" t="s">
        <v>24</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298"/>
      <c r="C158" s="298"/>
      <c r="D158" s="309"/>
      <c r="E158" s="47" t="s">
        <v>595</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298"/>
      <c r="C159" s="298"/>
      <c r="D159" s="309"/>
      <c r="E159" s="47" t="s">
        <v>596</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298"/>
      <c r="C160" s="298"/>
      <c r="D160" s="309"/>
      <c r="E160" s="31" t="s">
        <v>552</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298"/>
      <c r="C161" s="298"/>
      <c r="D161" s="309"/>
      <c r="E161" s="31" t="s">
        <v>553</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298"/>
      <c r="C162" s="298"/>
      <c r="D162" s="309"/>
      <c r="E162" s="73" t="s">
        <v>554</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298"/>
      <c r="C163" s="298"/>
      <c r="D163" s="309"/>
      <c r="E163" s="74" t="s">
        <v>555</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298"/>
      <c r="C164" s="298"/>
      <c r="D164" s="309"/>
      <c r="E164" s="67" t="s">
        <v>402</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298"/>
      <c r="C165" s="298"/>
      <c r="D165" s="309"/>
      <c r="E165" s="67" t="s">
        <v>40</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298"/>
      <c r="C166" s="298"/>
      <c r="D166" s="309"/>
      <c r="E166" s="67" t="s">
        <v>41</v>
      </c>
      <c r="F166" s="49"/>
      <c r="G166" s="18"/>
      <c r="H166" s="228"/>
      <c r="I166" s="260">
        <v>3132</v>
      </c>
      <c r="J166" s="21">
        <v>450000</v>
      </c>
      <c r="K166" s="210"/>
      <c r="L166" s="210"/>
      <c r="M166" s="210"/>
      <c r="N166" s="210"/>
      <c r="O166" s="210">
        <v>10000</v>
      </c>
      <c r="P166" s="210"/>
      <c r="Q166" s="210">
        <f>440000-300000</f>
        <v>140000</v>
      </c>
      <c r="R166" s="210">
        <f>-64000</f>
        <v>-64000</v>
      </c>
      <c r="S166" s="210">
        <v>300000</v>
      </c>
      <c r="T166" s="210">
        <f>50000</f>
        <v>50000</v>
      </c>
      <c r="U166" s="210">
        <f>14000</f>
        <v>14000</v>
      </c>
      <c r="V166" s="210"/>
      <c r="W166" s="147"/>
      <c r="X166" s="221">
        <f>K166+L166+M166+N166+O166+P166+Q166+R166-W166</f>
        <v>86000</v>
      </c>
    </row>
    <row r="167" spans="2:24" ht="47.25">
      <c r="B167" s="298"/>
      <c r="C167" s="298"/>
      <c r="D167" s="309"/>
      <c r="E167" s="67" t="s">
        <v>42</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298"/>
      <c r="C168" s="298"/>
      <c r="D168" s="309"/>
      <c r="E168" s="67" t="s">
        <v>43</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298"/>
      <c r="C169" s="298"/>
      <c r="D169" s="309"/>
      <c r="E169" s="67" t="s">
        <v>403</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298"/>
      <c r="C170" s="298"/>
      <c r="D170" s="309"/>
      <c r="E170" s="67" t="s">
        <v>404</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298"/>
      <c r="C171" s="298"/>
      <c r="D171" s="309"/>
      <c r="E171" s="67" t="s">
        <v>405</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298"/>
      <c r="C172" s="298"/>
      <c r="D172" s="309"/>
      <c r="E172" s="67" t="s">
        <v>406</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298"/>
      <c r="C173" s="298"/>
      <c r="D173" s="309"/>
      <c r="E173" s="67" t="s">
        <v>407</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298"/>
      <c r="C174" s="298"/>
      <c r="D174" s="309"/>
      <c r="E174" s="67" t="s">
        <v>408</v>
      </c>
      <c r="F174" s="49"/>
      <c r="G174" s="18"/>
      <c r="H174" s="228"/>
      <c r="I174" s="260">
        <v>3132</v>
      </c>
      <c r="J174" s="21">
        <v>80000</v>
      </c>
      <c r="K174" s="210"/>
      <c r="L174" s="210"/>
      <c r="M174" s="210"/>
      <c r="N174" s="210"/>
      <c r="O174" s="210"/>
      <c r="P174" s="210"/>
      <c r="Q174" s="210">
        <v>80000</v>
      </c>
      <c r="R174" s="210"/>
      <c r="S174" s="210"/>
      <c r="T174" s="210"/>
      <c r="U174" s="210"/>
      <c r="V174" s="210"/>
      <c r="W174" s="147">
        <v>23240.1</v>
      </c>
      <c r="X174" s="221">
        <f t="shared" si="13"/>
        <v>56759.9</v>
      </c>
    </row>
    <row r="175" spans="2:24" ht="31.5">
      <c r="B175" s="298"/>
      <c r="C175" s="298"/>
      <c r="D175" s="309"/>
      <c r="E175" s="67" t="s">
        <v>409</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298"/>
      <c r="C176" s="298"/>
      <c r="D176" s="309"/>
      <c r="E176" s="67" t="s">
        <v>410</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298"/>
      <c r="C177" s="298"/>
      <c r="D177" s="309"/>
      <c r="E177" s="67" t="s">
        <v>533</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298"/>
      <c r="C178" s="298"/>
      <c r="D178" s="309"/>
      <c r="E178" s="67" t="s">
        <v>19</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298"/>
      <c r="C179" s="298"/>
      <c r="D179" s="309"/>
      <c r="E179" s="67" t="s">
        <v>20</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6305.14+245161</f>
        <v>251466.14</v>
      </c>
      <c r="X179" s="221">
        <f t="shared" si="13"/>
        <v>93533.85999999999</v>
      </c>
    </row>
    <row r="180" spans="2:24" ht="47.25">
      <c r="B180" s="298"/>
      <c r="C180" s="298"/>
      <c r="D180" s="309"/>
      <c r="E180" s="67" t="s">
        <v>21</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298"/>
      <c r="C181" s="298"/>
      <c r="D181" s="309"/>
      <c r="E181" s="31" t="s">
        <v>22</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298"/>
      <c r="C182" s="298"/>
      <c r="D182" s="309"/>
      <c r="E182" s="67" t="s">
        <v>23</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f>1606.8</f>
        <v>1606.8</v>
      </c>
      <c r="X182" s="221">
        <f t="shared" si="13"/>
        <v>41293.2</v>
      </c>
    </row>
    <row r="183" spans="2:24" ht="63">
      <c r="B183" s="298"/>
      <c r="C183" s="298"/>
      <c r="D183" s="309"/>
      <c r="E183" s="67" t="s">
        <v>416</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f>12700+338650</f>
        <v>351350</v>
      </c>
      <c r="X183" s="221">
        <f t="shared" si="13"/>
        <v>98650</v>
      </c>
    </row>
    <row r="184" spans="2:24" ht="63">
      <c r="B184" s="298"/>
      <c r="C184" s="298"/>
      <c r="D184" s="309"/>
      <c r="E184" s="67" t="s">
        <v>105</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298"/>
      <c r="C185" s="298"/>
      <c r="D185" s="309"/>
      <c r="E185" s="65" t="s">
        <v>556</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298"/>
      <c r="C186" s="298"/>
      <c r="D186" s="309"/>
      <c r="E186" s="65" t="s">
        <v>536</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298"/>
      <c r="C187" s="298"/>
      <c r="D187" s="309"/>
      <c r="E187" s="67" t="s">
        <v>534</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v>55800</v>
      </c>
      <c r="X187" s="221">
        <f t="shared" si="13"/>
        <v>279200</v>
      </c>
    </row>
    <row r="188" spans="2:24" ht="31.5">
      <c r="B188" s="298"/>
      <c r="C188" s="298"/>
      <c r="D188" s="309"/>
      <c r="E188" s="31" t="s">
        <v>535</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298"/>
      <c r="C189" s="298"/>
      <c r="D189" s="309"/>
      <c r="E189" s="74" t="s">
        <v>272</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298"/>
      <c r="C190" s="298"/>
      <c r="D190" s="309"/>
      <c r="E190" s="31" t="s">
        <v>273</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f>194953+3207.36</f>
        <v>198160.36</v>
      </c>
      <c r="X190" s="221">
        <f t="shared" si="13"/>
        <v>1839.640000000014</v>
      </c>
    </row>
    <row r="191" spans="2:24" ht="31.5">
      <c r="B191" s="298"/>
      <c r="C191" s="298"/>
      <c r="D191" s="309"/>
      <c r="E191" s="31" t="s">
        <v>274</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298"/>
      <c r="C192" s="298"/>
      <c r="D192" s="309"/>
      <c r="E192" s="75" t="s">
        <v>302</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269316.6+9704.4</f>
        <v>279021</v>
      </c>
      <c r="X192" s="221">
        <f t="shared" si="13"/>
        <v>270979</v>
      </c>
    </row>
    <row r="193" spans="2:24" ht="47.25">
      <c r="B193" s="298"/>
      <c r="C193" s="298"/>
      <c r="D193" s="309"/>
      <c r="E193" s="31" t="s">
        <v>303</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37593.6+1993.8</f>
        <v>39587.4</v>
      </c>
      <c r="X193" s="221">
        <f t="shared" si="13"/>
        <v>40412.6</v>
      </c>
    </row>
    <row r="194" spans="2:24" ht="47.25">
      <c r="B194" s="298"/>
      <c r="C194" s="298"/>
      <c r="D194" s="309"/>
      <c r="E194" s="31" t="s">
        <v>418</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298"/>
      <c r="C195" s="298"/>
      <c r="D195" s="309"/>
      <c r="E195" s="31" t="s">
        <v>419</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58546.68+1320+2937+136608.92</f>
        <v>199412.6</v>
      </c>
      <c r="X195" s="221">
        <f t="shared" si="13"/>
        <v>587.3999999999942</v>
      </c>
    </row>
    <row r="196" spans="2:24" ht="31.5">
      <c r="B196" s="298"/>
      <c r="C196" s="298"/>
      <c r="D196" s="309"/>
      <c r="E196" s="31" t="s">
        <v>420</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298"/>
      <c r="C197" s="298"/>
      <c r="D197" s="309"/>
      <c r="E197" s="31" t="s">
        <v>421</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298"/>
      <c r="C198" s="298"/>
      <c r="D198" s="309"/>
      <c r="E198" s="31" t="s">
        <v>422</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298"/>
      <c r="C199" s="298"/>
      <c r="D199" s="309"/>
      <c r="E199" s="31" t="s">
        <v>423</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v>100500</v>
      </c>
      <c r="X199" s="221">
        <f t="shared" si="13"/>
        <v>9500</v>
      </c>
    </row>
    <row r="200" spans="2:24" ht="47.25">
      <c r="B200" s="298"/>
      <c r="C200" s="298"/>
      <c r="D200" s="309"/>
      <c r="E200" s="31" t="s">
        <v>424</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298"/>
      <c r="C201" s="298"/>
      <c r="D201" s="309"/>
      <c r="E201" s="31" t="s">
        <v>62</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298"/>
      <c r="C202" s="298"/>
      <c r="D202" s="309"/>
      <c r="E202" s="31" t="s">
        <v>63</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14558.64+592.8+732+33970.16</f>
        <v>49853.600000000006</v>
      </c>
      <c r="X202" s="221">
        <f t="shared" si="13"/>
        <v>146.39999999999418</v>
      </c>
    </row>
    <row r="203" spans="2:24" ht="31.5">
      <c r="B203" s="298"/>
      <c r="C203" s="298"/>
      <c r="D203" s="309"/>
      <c r="E203" s="31" t="s">
        <v>254</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298"/>
      <c r="C204" s="298"/>
      <c r="D204" s="309"/>
      <c r="E204" s="31" t="s">
        <v>255</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298"/>
      <c r="C205" s="298"/>
      <c r="D205" s="309"/>
      <c r="E205" s="31" t="s">
        <v>256</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298"/>
      <c r="C206" s="298"/>
      <c r="D206" s="309"/>
      <c r="E206" s="31" t="s">
        <v>257</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298"/>
      <c r="C207" s="298"/>
      <c r="D207" s="309"/>
      <c r="E207" s="31" t="s">
        <v>258</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f>64000</f>
        <v>64000</v>
      </c>
      <c r="S207" s="147"/>
      <c r="T207" s="147">
        <f>50000-50000</f>
        <v>0</v>
      </c>
      <c r="U207" s="147">
        <f>110000-14000</f>
        <v>96000</v>
      </c>
      <c r="V207" s="147">
        <v>50000</v>
      </c>
      <c r="W207" s="147">
        <f>6000+13697+143685.5</f>
        <v>163382.5</v>
      </c>
      <c r="X207" s="221">
        <f t="shared" si="13"/>
        <v>617.5</v>
      </c>
    </row>
    <row r="208" spans="2:24" ht="47.25">
      <c r="B208" s="298"/>
      <c r="C208" s="298"/>
      <c r="D208" s="309"/>
      <c r="E208" s="31" t="s">
        <v>259</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298"/>
      <c r="C209" s="298"/>
      <c r="D209" s="309"/>
      <c r="E209" s="31" t="s">
        <v>260</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298"/>
      <c r="C210" s="298"/>
      <c r="D210" s="309"/>
      <c r="E210" s="31" t="s">
        <v>261</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298"/>
      <c r="C211" s="298"/>
      <c r="D211" s="309"/>
      <c r="E211" s="31" t="s">
        <v>262</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298"/>
      <c r="C212" s="298"/>
      <c r="D212" s="309"/>
      <c r="E212" s="31" t="s">
        <v>263</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298"/>
      <c r="C213" s="298"/>
      <c r="D213" s="309"/>
      <c r="E213" s="31" t="s">
        <v>264</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299"/>
      <c r="C214" s="299"/>
      <c r="D214" s="310"/>
      <c r="E214" s="31" t="s">
        <v>502</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299"/>
      <c r="C215" s="299"/>
      <c r="D215" s="310"/>
      <c r="E215" s="31" t="s">
        <v>412</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299"/>
      <c r="C216" s="299"/>
      <c r="D216" s="310"/>
      <c r="E216" s="31" t="s">
        <v>413</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299"/>
      <c r="C217" s="299"/>
      <c r="D217" s="310"/>
      <c r="E217" s="31" t="s">
        <v>725</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3478+6739.71+1375</f>
        <v>11592.71</v>
      </c>
      <c r="X217" s="221">
        <f t="shared" si="16"/>
        <v>8407.29</v>
      </c>
    </row>
    <row r="218" spans="2:24" ht="31.5">
      <c r="B218" s="299"/>
      <c r="C218" s="299"/>
      <c r="D218" s="310"/>
      <c r="E218" s="31" t="s">
        <v>730</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0"/>
      <c r="C219" s="300"/>
      <c r="D219" s="311"/>
      <c r="E219" s="29" t="s">
        <v>304</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45213.6+2400</f>
        <v>47613.6</v>
      </c>
      <c r="X219" s="221">
        <f t="shared" si="16"/>
        <v>42386.4</v>
      </c>
    </row>
    <row r="220" spans="2:24" ht="15.75">
      <c r="B220" s="304" t="s">
        <v>284</v>
      </c>
      <c r="C220" s="304" t="s">
        <v>662</v>
      </c>
      <c r="D220" s="308" t="s">
        <v>651</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96071.40000000001</v>
      </c>
      <c r="X220" s="221">
        <f t="shared" si="16"/>
        <v>393928.6</v>
      </c>
    </row>
    <row r="221" spans="2:24" ht="63">
      <c r="B221" s="305"/>
      <c r="C221" s="305"/>
      <c r="D221" s="309"/>
      <c r="E221" s="31" t="s">
        <v>265</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05"/>
      <c r="C222" s="305"/>
      <c r="D222" s="309"/>
      <c r="E222" s="31" t="s">
        <v>266</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05"/>
      <c r="C223" s="305"/>
      <c r="D223" s="309"/>
      <c r="E223" s="31" t="s">
        <v>267</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05"/>
      <c r="C224" s="305"/>
      <c r="D224" s="309"/>
      <c r="E224" s="31" t="s">
        <v>415</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05"/>
      <c r="C225" s="305"/>
      <c r="D225" s="309"/>
      <c r="E225" s="31" t="s">
        <v>537</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05"/>
      <c r="C226" s="305"/>
      <c r="D226" s="309"/>
      <c r="E226" s="31" t="s">
        <v>393</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v>1071.6</v>
      </c>
      <c r="X226" s="221">
        <f t="shared" si="16"/>
        <v>58928.4</v>
      </c>
    </row>
    <row r="227" spans="2:24" ht="63">
      <c r="B227" s="305"/>
      <c r="C227" s="305"/>
      <c r="D227" s="309"/>
      <c r="E227" s="31" t="s">
        <v>394</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06"/>
      <c r="C228" s="306"/>
      <c r="D228" s="311"/>
      <c r="E228" s="31" t="s">
        <v>106</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45" t="s">
        <v>285</v>
      </c>
      <c r="C229" s="345" t="s">
        <v>653</v>
      </c>
      <c r="D229" s="337" t="s">
        <v>652</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46"/>
      <c r="C230" s="346"/>
      <c r="D230" s="338"/>
      <c r="E230" s="72" t="s">
        <v>395</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7"/>
      <c r="C231" s="347"/>
      <c r="D231" s="339"/>
      <c r="E231" s="72" t="s">
        <v>726</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04" t="s">
        <v>655</v>
      </c>
      <c r="C232" s="304" t="s">
        <v>654</v>
      </c>
      <c r="D232" s="308" t="s">
        <v>774</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6750</v>
      </c>
      <c r="X232" s="221">
        <f t="shared" si="16"/>
        <v>358750</v>
      </c>
    </row>
    <row r="233" spans="2:24" ht="47.25">
      <c r="B233" s="305"/>
      <c r="C233" s="305"/>
      <c r="D233" s="309"/>
      <c r="E233" s="31" t="s">
        <v>396</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v>4500</v>
      </c>
      <c r="X233" s="221">
        <f t="shared" si="16"/>
        <v>45500</v>
      </c>
    </row>
    <row r="234" spans="2:24" ht="47.25">
      <c r="B234" s="305"/>
      <c r="C234" s="305"/>
      <c r="D234" s="309"/>
      <c r="E234" s="31" t="s">
        <v>397</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06"/>
      <c r="C235" s="306"/>
      <c r="D235" s="311"/>
      <c r="E235" s="31" t="s">
        <v>398</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297" t="s">
        <v>656</v>
      </c>
      <c r="C236" s="297" t="s">
        <v>659</v>
      </c>
      <c r="D236" s="308" t="s">
        <v>286</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298"/>
      <c r="C237" s="298"/>
      <c r="D237" s="309"/>
      <c r="E237" s="47" t="s">
        <v>25</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298"/>
      <c r="C238" s="298"/>
      <c r="D238" s="309"/>
      <c r="E238" s="47" t="s">
        <v>541</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298"/>
      <c r="C239" s="298"/>
      <c r="D239" s="309"/>
      <c r="E239" s="47" t="s">
        <v>542</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298"/>
      <c r="C240" s="298"/>
      <c r="D240" s="309"/>
      <c r="E240" s="47" t="s">
        <v>522</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298"/>
      <c r="C241" s="298"/>
      <c r="D241" s="309"/>
      <c r="E241" s="47" t="s">
        <v>252</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0"/>
      <c r="C242" s="300"/>
      <c r="D242" s="311"/>
      <c r="E242" s="47" t="s">
        <v>251</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04" t="s">
        <v>657</v>
      </c>
      <c r="C243" s="304" t="s">
        <v>660</v>
      </c>
      <c r="D243" s="308" t="s">
        <v>784</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05"/>
      <c r="C244" s="305"/>
      <c r="D244" s="309"/>
      <c r="E244" s="31" t="s">
        <v>746</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05"/>
      <c r="C245" s="305"/>
      <c r="D245" s="309"/>
      <c r="E245" s="31" t="s">
        <v>747</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05"/>
      <c r="C246" s="305"/>
      <c r="D246" s="309"/>
      <c r="E246" s="31" t="s">
        <v>748</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06"/>
      <c r="C247" s="306"/>
      <c r="D247" s="311"/>
      <c r="E247" s="31" t="s">
        <v>749</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297" t="s">
        <v>658</v>
      </c>
      <c r="C248" s="297" t="s">
        <v>662</v>
      </c>
      <c r="D248" s="308" t="s">
        <v>661</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474589.66</v>
      </c>
      <c r="X248" s="221">
        <f t="shared" si="16"/>
        <v>968368.45</v>
      </c>
    </row>
    <row r="249" spans="2:24" ht="94.5">
      <c r="B249" s="298"/>
      <c r="C249" s="298"/>
      <c r="D249" s="309"/>
      <c r="E249" s="280" t="s">
        <v>244</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298"/>
      <c r="C250" s="298"/>
      <c r="D250" s="309"/>
      <c r="E250" s="280" t="s">
        <v>737</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298"/>
      <c r="C251" s="298"/>
      <c r="D251" s="309"/>
      <c r="E251" s="280" t="s">
        <v>738</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298"/>
      <c r="C252" s="298"/>
      <c r="D252" s="309"/>
      <c r="E252" s="280" t="s">
        <v>739</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298"/>
      <c r="C253" s="298"/>
      <c r="D253" s="309"/>
      <c r="E253" s="280" t="s">
        <v>740</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298"/>
      <c r="C254" s="298"/>
      <c r="D254" s="309"/>
      <c r="E254" s="280" t="s">
        <v>741</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298"/>
      <c r="C255" s="298"/>
      <c r="D255" s="309"/>
      <c r="E255" s="280" t="s">
        <v>742</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298"/>
      <c r="C256" s="298"/>
      <c r="D256" s="309"/>
      <c r="E256" s="280" t="s">
        <v>743</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298"/>
      <c r="C257" s="298"/>
      <c r="D257" s="309"/>
      <c r="E257" s="48" t="s">
        <v>597</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298"/>
      <c r="C258" s="298"/>
      <c r="D258" s="309"/>
      <c r="E258" s="48" t="s">
        <v>268</v>
      </c>
      <c r="F258" s="45"/>
      <c r="G258" s="46"/>
      <c r="H258" s="227"/>
      <c r="I258" s="260">
        <v>3132</v>
      </c>
      <c r="J258" s="9">
        <v>100000</v>
      </c>
      <c r="K258" s="147"/>
      <c r="L258" s="147"/>
      <c r="M258" s="147"/>
      <c r="N258" s="147"/>
      <c r="O258" s="147">
        <v>40000</v>
      </c>
      <c r="P258" s="147"/>
      <c r="Q258" s="147">
        <v>60000</v>
      </c>
      <c r="R258" s="147"/>
      <c r="S258" s="147"/>
      <c r="T258" s="147"/>
      <c r="U258" s="147"/>
      <c r="V258" s="147"/>
      <c r="W258" s="147">
        <f>16188+37772</f>
        <v>53960</v>
      </c>
      <c r="X258" s="221">
        <f t="shared" si="16"/>
        <v>46040</v>
      </c>
    </row>
    <row r="259" spans="2:24" ht="47.25">
      <c r="B259" s="298"/>
      <c r="C259" s="298"/>
      <c r="D259" s="309"/>
      <c r="E259" s="48" t="s">
        <v>269</v>
      </c>
      <c r="F259" s="45"/>
      <c r="G259" s="46"/>
      <c r="H259" s="227"/>
      <c r="I259" s="260">
        <v>3132</v>
      </c>
      <c r="J259" s="9">
        <v>40000</v>
      </c>
      <c r="K259" s="147"/>
      <c r="L259" s="147"/>
      <c r="M259" s="147"/>
      <c r="N259" s="147"/>
      <c r="O259" s="147">
        <v>40000</v>
      </c>
      <c r="P259" s="147"/>
      <c r="Q259" s="147"/>
      <c r="R259" s="147"/>
      <c r="S259" s="147"/>
      <c r="T259" s="147"/>
      <c r="U259" s="147"/>
      <c r="V259" s="147"/>
      <c r="W259" s="147">
        <v>396</v>
      </c>
      <c r="X259" s="221">
        <f t="shared" si="16"/>
        <v>39604</v>
      </c>
    </row>
    <row r="260" spans="2:24" ht="47.25">
      <c r="B260" s="298"/>
      <c r="C260" s="298"/>
      <c r="D260" s="309"/>
      <c r="E260" s="67" t="s">
        <v>270</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298"/>
      <c r="C261" s="298"/>
      <c r="D261" s="309"/>
      <c r="E261" s="31" t="s">
        <v>417</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298"/>
      <c r="C262" s="298"/>
      <c r="D262" s="309"/>
      <c r="E262" s="31" t="s">
        <v>586</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298"/>
      <c r="C263" s="298"/>
      <c r="D263" s="309"/>
      <c r="E263" s="31" t="s">
        <v>587</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298"/>
      <c r="C264" s="298"/>
      <c r="D264" s="309"/>
      <c r="E264" s="31" t="s">
        <v>588</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f>9581.39+1320</f>
        <v>10901.39</v>
      </c>
      <c r="X264" s="221">
        <f t="shared" si="16"/>
        <v>69098.61</v>
      </c>
    </row>
    <row r="265" spans="2:24" ht="31.5">
      <c r="B265" s="298"/>
      <c r="C265" s="298"/>
      <c r="D265" s="309"/>
      <c r="E265" s="31" t="s">
        <v>589</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298"/>
      <c r="C266" s="298"/>
      <c r="D266" s="309"/>
      <c r="E266" s="31" t="s">
        <v>590</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299"/>
      <c r="C267" s="299"/>
      <c r="D267" s="310"/>
      <c r="E267" s="31" t="s">
        <v>502</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0"/>
      <c r="C268" s="300"/>
      <c r="D268" s="311"/>
      <c r="E268" s="31" t="s">
        <v>429</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297" t="s">
        <v>763</v>
      </c>
      <c r="C269" s="297" t="s">
        <v>663</v>
      </c>
      <c r="D269" s="308" t="s">
        <v>437</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0"/>
      <c r="C270" s="300"/>
      <c r="D270" s="311"/>
      <c r="E270" s="70" t="s">
        <v>744</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297" t="s">
        <v>664</v>
      </c>
      <c r="C271" s="297" t="s">
        <v>667</v>
      </c>
      <c r="D271" s="308" t="s">
        <v>668</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583000.72</v>
      </c>
      <c r="X271" s="221">
        <f t="shared" si="16"/>
        <v>834523.04</v>
      </c>
    </row>
    <row r="272" spans="2:24" ht="63">
      <c r="B272" s="298"/>
      <c r="C272" s="298"/>
      <c r="D272" s="309"/>
      <c r="E272" s="280" t="s">
        <v>745</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298"/>
      <c r="C273" s="298"/>
      <c r="D273" s="309"/>
      <c r="E273" s="280" t="s">
        <v>99</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298"/>
      <c r="C274" s="298"/>
      <c r="D274" s="309"/>
      <c r="E274" s="48" t="s">
        <v>598</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298"/>
      <c r="C275" s="298"/>
      <c r="D275" s="309"/>
      <c r="E275" s="48" t="s">
        <v>411</v>
      </c>
      <c r="F275" s="45"/>
      <c r="G275" s="46"/>
      <c r="H275" s="227"/>
      <c r="I275" s="260">
        <v>3110</v>
      </c>
      <c r="J275" s="9">
        <v>60000</v>
      </c>
      <c r="K275" s="147"/>
      <c r="L275" s="147"/>
      <c r="M275" s="147"/>
      <c r="N275" s="147"/>
      <c r="O275" s="147"/>
      <c r="P275" s="147">
        <v>60000</v>
      </c>
      <c r="Q275" s="147"/>
      <c r="R275" s="147"/>
      <c r="S275" s="147"/>
      <c r="T275" s="147"/>
      <c r="U275" s="147"/>
      <c r="V275" s="147"/>
      <c r="W275" s="147">
        <v>60000</v>
      </c>
      <c r="X275" s="221">
        <f aca="true" t="shared" si="25" ref="X275:X338">K275+L275+M275+N275+O275+P275+Q275+R275-W275</f>
        <v>0</v>
      </c>
    </row>
    <row r="276" spans="2:24" ht="47.25">
      <c r="B276" s="298"/>
      <c r="C276" s="298"/>
      <c r="D276" s="309"/>
      <c r="E276" s="67" t="s">
        <v>430</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10140.3+369.2+50935.3+1130.4</f>
        <v>62575.200000000004</v>
      </c>
      <c r="X276" s="221">
        <f t="shared" si="25"/>
        <v>42424.799999999996</v>
      </c>
    </row>
    <row r="277" spans="2:24" ht="47.25">
      <c r="B277" s="298"/>
      <c r="C277" s="298"/>
      <c r="D277" s="309"/>
      <c r="E277" s="67" t="s">
        <v>591</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298"/>
      <c r="C278" s="298"/>
      <c r="D278" s="309"/>
      <c r="E278" s="67" t="s">
        <v>592</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298"/>
      <c r="C279" s="298"/>
      <c r="D279" s="309"/>
      <c r="E279" s="31" t="s">
        <v>791</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298"/>
      <c r="C280" s="298"/>
      <c r="D280" s="309"/>
      <c r="E280" s="31" t="s">
        <v>792</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298"/>
      <c r="C281" s="298"/>
      <c r="D281" s="309"/>
      <c r="E281" s="31" t="s">
        <v>295</v>
      </c>
      <c r="F281" s="49"/>
      <c r="G281" s="18"/>
      <c r="H281" s="231"/>
      <c r="I281" s="260">
        <v>3132</v>
      </c>
      <c r="J281" s="21">
        <v>25000</v>
      </c>
      <c r="K281" s="147"/>
      <c r="L281" s="147"/>
      <c r="M281" s="147"/>
      <c r="N281" s="147"/>
      <c r="O281" s="147">
        <v>25000</v>
      </c>
      <c r="P281" s="147"/>
      <c r="Q281" s="147"/>
      <c r="R281" s="147"/>
      <c r="S281" s="147"/>
      <c r="T281" s="147"/>
      <c r="U281" s="147"/>
      <c r="V281" s="147"/>
      <c r="W281" s="147">
        <f>396</f>
        <v>396</v>
      </c>
      <c r="X281" s="221">
        <f t="shared" si="25"/>
        <v>24604</v>
      </c>
    </row>
    <row r="282" spans="2:24" ht="31.5">
      <c r="B282" s="298"/>
      <c r="C282" s="298"/>
      <c r="D282" s="309"/>
      <c r="E282" s="31" t="s">
        <v>296</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298"/>
      <c r="C283" s="298"/>
      <c r="D283" s="309"/>
      <c r="E283" s="31" t="s">
        <v>806</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298"/>
      <c r="C284" s="298"/>
      <c r="D284" s="309"/>
      <c r="E284" s="31" t="s">
        <v>807</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85000+21518+7950</f>
        <v>114468</v>
      </c>
      <c r="X284" s="221">
        <f t="shared" si="25"/>
        <v>285532</v>
      </c>
    </row>
    <row r="285" spans="2:24" ht="47.25">
      <c r="B285" s="298"/>
      <c r="C285" s="298"/>
      <c r="D285" s="309"/>
      <c r="E285" s="31" t="s">
        <v>123</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298"/>
      <c r="C286" s="298"/>
      <c r="D286" s="309"/>
      <c r="E286" s="31" t="s">
        <v>502</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298"/>
      <c r="C287" s="298"/>
      <c r="D287" s="309"/>
      <c r="E287" s="31" t="s">
        <v>124</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297" t="s">
        <v>666</v>
      </c>
      <c r="C288" s="297" t="s">
        <v>667</v>
      </c>
      <c r="D288" s="308" t="s">
        <v>670</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298"/>
      <c r="C289" s="298"/>
      <c r="D289" s="309"/>
      <c r="E289" s="70" t="s">
        <v>744</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0"/>
      <c r="C290" s="300"/>
      <c r="D290" s="311"/>
      <c r="E290" s="80" t="s">
        <v>465</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297" t="s">
        <v>831</v>
      </c>
      <c r="C291" s="297" t="s">
        <v>832</v>
      </c>
      <c r="D291" s="308" t="s">
        <v>671</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298"/>
      <c r="C292" s="298"/>
      <c r="D292" s="309"/>
      <c r="E292" s="47" t="s">
        <v>54</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298"/>
      <c r="C293" s="298"/>
      <c r="D293" s="309"/>
      <c r="E293" s="29" t="s">
        <v>55</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298"/>
      <c r="C294" s="298"/>
      <c r="D294" s="309"/>
      <c r="E294" s="81" t="s">
        <v>466</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0"/>
      <c r="C295" s="300"/>
      <c r="D295" s="311"/>
      <c r="E295" s="67" t="s">
        <v>467</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297" t="s">
        <v>768</v>
      </c>
      <c r="C296" s="297" t="s">
        <v>780</v>
      </c>
      <c r="D296" s="308" t="s">
        <v>364</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298"/>
      <c r="C297" s="298"/>
      <c r="D297" s="309"/>
      <c r="E297" s="72" t="s">
        <v>721</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298"/>
      <c r="C298" s="298"/>
      <c r="D298" s="309"/>
      <c r="E298" s="47" t="s">
        <v>445</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298"/>
      <c r="C299" s="298"/>
      <c r="D299" s="309"/>
      <c r="E299" s="64" t="s">
        <v>446</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298"/>
      <c r="C300" s="298"/>
      <c r="D300" s="309"/>
      <c r="E300" s="64" t="s">
        <v>447</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298"/>
      <c r="C301" s="298"/>
      <c r="D301" s="309"/>
      <c r="E301" s="47" t="s">
        <v>450</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298"/>
      <c r="C302" s="298"/>
      <c r="D302" s="309"/>
      <c r="E302" s="47" t="s">
        <v>468</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298"/>
      <c r="C303" s="298"/>
      <c r="D303" s="309"/>
      <c r="E303" s="47" t="s">
        <v>469</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299"/>
      <c r="C304" s="299"/>
      <c r="D304" s="310"/>
      <c r="E304" s="47" t="s">
        <v>731</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0"/>
      <c r="C305" s="300"/>
      <c r="D305" s="311"/>
      <c r="E305" s="47" t="s">
        <v>599</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01" t="s">
        <v>769</v>
      </c>
      <c r="C306" s="301" t="s">
        <v>662</v>
      </c>
      <c r="D306" s="337" t="s">
        <v>451</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17187.82</v>
      </c>
      <c r="X306" s="221">
        <f t="shared" si="25"/>
        <v>128380.57</v>
      </c>
    </row>
    <row r="307" spans="2:24" ht="78.75">
      <c r="B307" s="302"/>
      <c r="C307" s="302"/>
      <c r="D307" s="338"/>
      <c r="E307" s="70" t="s">
        <v>452</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02"/>
      <c r="C308" s="302"/>
      <c r="D308" s="338"/>
      <c r="E308" s="70" t="s">
        <v>600</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03"/>
      <c r="C309" s="303"/>
      <c r="D309" s="339"/>
      <c r="E309" s="70" t="s">
        <v>103</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10115.25+1504.18</f>
        <v>11619.43</v>
      </c>
      <c r="X309" s="221">
        <f t="shared" si="25"/>
        <v>68380.57</v>
      </c>
    </row>
    <row r="310" spans="2:24" ht="15.75">
      <c r="B310" s="304" t="s">
        <v>764</v>
      </c>
      <c r="C310" s="304" t="s">
        <v>832</v>
      </c>
      <c r="D310" s="308" t="s">
        <v>461</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1849658.7599999998</v>
      </c>
      <c r="X310" s="221">
        <f t="shared" si="25"/>
        <v>271680.9900000002</v>
      </c>
    </row>
    <row r="311" spans="2:24" ht="31.5">
      <c r="B311" s="305"/>
      <c r="C311" s="305"/>
      <c r="D311" s="309"/>
      <c r="E311" s="83" t="s">
        <v>462</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221">
        <f t="shared" si="25"/>
        <v>70052.90000000002</v>
      </c>
    </row>
    <row r="312" spans="2:24" ht="47.25">
      <c r="B312" s="305"/>
      <c r="C312" s="305"/>
      <c r="D312" s="309"/>
      <c r="E312" s="10" t="s">
        <v>463</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2880+146429.4-15.84+341631.64+9022</f>
        <v>499947.2</v>
      </c>
      <c r="X312" s="221">
        <f t="shared" si="25"/>
        <v>52.79999999998836</v>
      </c>
    </row>
    <row r="313" spans="2:24" ht="47.25">
      <c r="B313" s="305"/>
      <c r="C313" s="305"/>
      <c r="D313" s="309"/>
      <c r="E313" s="10" t="s">
        <v>464</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05"/>
      <c r="C314" s="305"/>
      <c r="D314" s="309"/>
      <c r="E314" s="12" t="s">
        <v>315</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2880+43344.9+23775</f>
        <v>69999.9</v>
      </c>
      <c r="X314" s="221">
        <f t="shared" si="25"/>
        <v>0.10000000000582077</v>
      </c>
    </row>
    <row r="315" spans="2:24" ht="31.5">
      <c r="B315" s="305"/>
      <c r="C315" s="305"/>
      <c r="D315" s="309"/>
      <c r="E315" s="85" t="s">
        <v>576</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05"/>
      <c r="C316" s="305"/>
      <c r="D316" s="309"/>
      <c r="E316" s="87" t="s">
        <v>577</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05"/>
      <c r="C317" s="305"/>
      <c r="D317" s="309"/>
      <c r="E317" s="87" t="s">
        <v>578</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05"/>
      <c r="C318" s="305"/>
      <c r="D318" s="309"/>
      <c r="E318" s="47" t="s">
        <v>579</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05"/>
      <c r="C319" s="305"/>
      <c r="D319" s="309"/>
      <c r="E319" s="85" t="s">
        <v>580</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05"/>
      <c r="C320" s="305"/>
      <c r="D320" s="309"/>
      <c r="E320" s="47" t="s">
        <v>629</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05"/>
      <c r="C321" s="305"/>
      <c r="D321" s="309"/>
      <c r="E321" s="47" t="s">
        <v>630</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05"/>
      <c r="C322" s="305"/>
      <c r="D322" s="309"/>
      <c r="E322" s="31" t="s">
        <v>139</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05"/>
      <c r="C323" s="305"/>
      <c r="D323" s="309"/>
      <c r="E323" s="83" t="s">
        <v>140</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05"/>
      <c r="C324" s="305"/>
      <c r="D324" s="309"/>
      <c r="E324" s="31" t="s">
        <v>335</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48" t="s">
        <v>215</v>
      </c>
      <c r="E325" s="349"/>
      <c r="F325" s="100"/>
      <c r="G325" s="101"/>
      <c r="H325" s="234"/>
      <c r="I325" s="265"/>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5809197.7299999995</v>
      </c>
      <c r="X325" s="221">
        <f t="shared" si="25"/>
        <v>8955982.61</v>
      </c>
    </row>
    <row r="326" spans="2:24" ht="15.75">
      <c r="B326" s="297" t="s">
        <v>770</v>
      </c>
      <c r="C326" s="297" t="s">
        <v>365</v>
      </c>
      <c r="D326" s="308" t="s">
        <v>453</v>
      </c>
      <c r="E326" s="94"/>
      <c r="F326" s="76"/>
      <c r="G326" s="99"/>
      <c r="H326" s="235"/>
      <c r="I326" s="266"/>
      <c r="J326" s="222">
        <f>J327+J328+J329+J333+J334+J335+J336+J337+J338+J342+J347+J353+J354+J364+J365+J367+J368+J369+J370+J371+J372+J373+J374+J339+J340+J341+J366+J376+J375</f>
        <v>8055055.57</v>
      </c>
      <c r="K326" s="222">
        <f aca="true" t="shared" si="39" ref="K326:W326">K327+K328+K329+K333+K334+K335+K336+K337+K338+K342+K347+K353+K354+K364+K365+K367+K368+K369+K370+K371+K372+K373+K374+K339+K340+K341+K366+K376+K375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3357279.7099999995</v>
      </c>
      <c r="X326" s="221">
        <f t="shared" si="25"/>
        <v>4350655.860000001</v>
      </c>
    </row>
    <row r="327" spans="2:24" ht="78.75">
      <c r="B327" s="298"/>
      <c r="C327" s="298"/>
      <c r="D327" s="309"/>
      <c r="E327" s="19" t="s">
        <v>454</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298"/>
      <c r="C328" s="298"/>
      <c r="D328" s="309"/>
      <c r="E328" s="20" t="s">
        <v>455</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298"/>
      <c r="C329" s="298"/>
      <c r="D329" s="309"/>
      <c r="E329" s="10" t="s">
        <v>722</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298"/>
      <c r="C330" s="298"/>
      <c r="D330" s="309"/>
      <c r="E330" s="22" t="s">
        <v>457</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298"/>
      <c r="C331" s="298"/>
      <c r="D331" s="309"/>
      <c r="E331" s="23" t="s">
        <v>458</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298"/>
      <c r="C332" s="298"/>
      <c r="D332" s="309"/>
      <c r="E332" s="23" t="s">
        <v>459</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298"/>
      <c r="C333" s="298"/>
      <c r="D333" s="309"/>
      <c r="E333" s="10" t="s">
        <v>108</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298"/>
      <c r="C334" s="298"/>
      <c r="D334" s="309"/>
      <c r="E334" s="10" t="s">
        <v>496</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298"/>
      <c r="C335" s="298"/>
      <c r="D335" s="309"/>
      <c r="E335" s="10" t="s">
        <v>320</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298"/>
      <c r="C336" s="298"/>
      <c r="D336" s="309"/>
      <c r="E336" s="10" t="s">
        <v>321</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298"/>
      <c r="C337" s="298"/>
      <c r="D337" s="309"/>
      <c r="E337" s="10" t="s">
        <v>845</v>
      </c>
      <c r="F337" s="76"/>
      <c r="G337" s="18"/>
      <c r="H337" s="235"/>
      <c r="I337" s="262" t="s">
        <v>230</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298"/>
      <c r="C338" s="298"/>
      <c r="D338" s="309"/>
      <c r="E338" s="10" t="s">
        <v>290</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298"/>
      <c r="C339" s="298"/>
      <c r="D339" s="309"/>
      <c r="E339" s="10" t="s">
        <v>56</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298"/>
      <c r="C340" s="298"/>
      <c r="D340" s="309"/>
      <c r="E340" s="10" t="s">
        <v>57</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298"/>
      <c r="C341" s="298"/>
      <c r="D341" s="309"/>
      <c r="E341" s="10" t="s">
        <v>58</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298"/>
      <c r="C342" s="298"/>
      <c r="D342" s="309"/>
      <c r="E342" s="88" t="s">
        <v>336</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298"/>
      <c r="C343" s="298"/>
      <c r="D343" s="309"/>
      <c r="E343" s="89" t="s">
        <v>337</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298"/>
      <c r="C344" s="298"/>
      <c r="D344" s="309"/>
      <c r="E344" s="89" t="s">
        <v>338</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298"/>
      <c r="C345" s="298"/>
      <c r="D345" s="309"/>
      <c r="E345" s="89" t="s">
        <v>339</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298"/>
      <c r="C346" s="298"/>
      <c r="D346" s="309"/>
      <c r="E346" s="89" t="s">
        <v>812</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298"/>
      <c r="C347" s="298"/>
      <c r="D347" s="309"/>
      <c r="E347" s="88" t="s">
        <v>835</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298"/>
      <c r="C348" s="298"/>
      <c r="D348" s="309"/>
      <c r="E348" s="90" t="s">
        <v>836</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298"/>
      <c r="C349" s="298"/>
      <c r="D349" s="309"/>
      <c r="E349" s="90" t="s">
        <v>837</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298"/>
      <c r="C350" s="298"/>
      <c r="D350" s="309"/>
      <c r="E350" s="90" t="s">
        <v>838</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298"/>
      <c r="C351" s="298"/>
      <c r="D351" s="309"/>
      <c r="E351" s="90" t="s">
        <v>839</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298"/>
      <c r="C352" s="298"/>
      <c r="D352" s="309"/>
      <c r="E352" s="90" t="s">
        <v>840</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298"/>
      <c r="C353" s="298"/>
      <c r="D353" s="309"/>
      <c r="E353" s="10" t="s">
        <v>841</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298"/>
      <c r="C354" s="298"/>
      <c r="D354" s="309"/>
      <c r="E354" s="88" t="s">
        <v>326</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298"/>
      <c r="C355" s="298"/>
      <c r="D355" s="309"/>
      <c r="E355" s="91" t="s">
        <v>327</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298"/>
      <c r="C356" s="298"/>
      <c r="D356" s="309"/>
      <c r="E356" s="91" t="s">
        <v>328</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298"/>
      <c r="C357" s="298"/>
      <c r="D357" s="309"/>
      <c r="E357" s="91" t="s">
        <v>329</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298"/>
      <c r="C358" s="298"/>
      <c r="D358" s="309"/>
      <c r="E358" s="91" t="s">
        <v>330</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298"/>
      <c r="C359" s="298"/>
      <c r="D359" s="309"/>
      <c r="E359" s="91" t="s">
        <v>331</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298"/>
      <c r="C360" s="298"/>
      <c r="D360" s="309"/>
      <c r="E360" s="91" t="s">
        <v>332</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298"/>
      <c r="C361" s="298"/>
      <c r="D361" s="309"/>
      <c r="E361" s="277" t="s">
        <v>239</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298"/>
      <c r="C362" s="298"/>
      <c r="D362" s="309"/>
      <c r="E362" s="92" t="s">
        <v>333</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298"/>
      <c r="C363" s="298"/>
      <c r="D363" s="309"/>
      <c r="E363" s="92" t="s">
        <v>334</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298"/>
      <c r="C364" s="298"/>
      <c r="D364" s="309"/>
      <c r="E364" s="93" t="s">
        <v>494</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298"/>
      <c r="C365" s="298"/>
      <c r="D365" s="309"/>
      <c r="E365" s="93" t="s">
        <v>631</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298"/>
      <c r="C366" s="298"/>
      <c r="D366" s="309"/>
      <c r="E366" s="93" t="s">
        <v>316</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298"/>
      <c r="C367" s="298"/>
      <c r="D367" s="309"/>
      <c r="E367" s="93" t="s">
        <v>317</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298"/>
      <c r="C368" s="298"/>
      <c r="D368" s="309"/>
      <c r="E368" s="88" t="s">
        <v>145</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12022+24035.8</f>
        <v>36057.8</v>
      </c>
      <c r="X368" s="221">
        <f t="shared" si="40"/>
        <v>31802.199999999997</v>
      </c>
    </row>
    <row r="369" spans="2:24" ht="47.25">
      <c r="B369" s="298"/>
      <c r="C369" s="298"/>
      <c r="D369" s="309"/>
      <c r="E369" s="88" t="s">
        <v>146</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3178+169174.1</f>
        <v>172352.1</v>
      </c>
      <c r="X369" s="221">
        <f t="shared" si="40"/>
        <v>158647.9</v>
      </c>
    </row>
    <row r="370" spans="2:24" ht="63">
      <c r="B370" s="298"/>
      <c r="C370" s="298"/>
      <c r="D370" s="309"/>
      <c r="E370" s="88" t="s">
        <v>147</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298"/>
      <c r="C371" s="298"/>
      <c r="D371" s="309"/>
      <c r="E371" s="88" t="s">
        <v>148</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298"/>
      <c r="C372" s="298"/>
      <c r="D372" s="309"/>
      <c r="E372" s="88" t="s">
        <v>648</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298"/>
      <c r="C373" s="298"/>
      <c r="D373" s="309"/>
      <c r="E373" s="88" t="s">
        <v>703</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298"/>
      <c r="C374" s="298"/>
      <c r="D374" s="309"/>
      <c r="E374" s="88" t="s">
        <v>627</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25783+1122+221089.8</f>
        <v>247994.8</v>
      </c>
      <c r="X374" s="221">
        <f t="shared" si="40"/>
        <v>552005.2</v>
      </c>
    </row>
    <row r="375" spans="2:24" ht="68.25" customHeight="1">
      <c r="B375" s="299"/>
      <c r="C375" s="299"/>
      <c r="D375" s="310"/>
      <c r="E375" s="88" t="s">
        <v>136</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0"/>
      <c r="C376" s="300"/>
      <c r="D376" s="311"/>
      <c r="E376" s="88" t="s">
        <v>700</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297" t="s">
        <v>771</v>
      </c>
      <c r="C377" s="297" t="s">
        <v>367</v>
      </c>
      <c r="D377" s="308" t="s">
        <v>366</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844864.36</v>
      </c>
      <c r="X377" s="221">
        <f t="shared" si="40"/>
        <v>2062695.15</v>
      </c>
    </row>
    <row r="378" spans="2:24" ht="94.5">
      <c r="B378" s="298"/>
      <c r="C378" s="298"/>
      <c r="D378" s="309"/>
      <c r="E378" s="94" t="s">
        <v>322</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298"/>
      <c r="C379" s="298"/>
      <c r="D379" s="309"/>
      <c r="E379" s="95" t="s">
        <v>628</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298"/>
      <c r="C380" s="298"/>
      <c r="D380" s="309"/>
      <c r="E380" s="95" t="s">
        <v>641</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f>52225.87+10694</f>
        <v>62919.87</v>
      </c>
      <c r="X380" s="221">
        <f t="shared" si="40"/>
        <v>120242.13</v>
      </c>
    </row>
    <row r="381" spans="2:24" ht="94.5">
      <c r="B381" s="298"/>
      <c r="C381" s="298"/>
      <c r="D381" s="309"/>
      <c r="E381" s="95" t="s">
        <v>642</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f>47185.24+9946</f>
        <v>57131.24</v>
      </c>
      <c r="X381" s="221">
        <f t="shared" si="40"/>
        <v>107885.76000000001</v>
      </c>
    </row>
    <row r="382" spans="2:24" ht="94.5">
      <c r="B382" s="298"/>
      <c r="C382" s="298"/>
      <c r="D382" s="309"/>
      <c r="E382" s="95" t="s">
        <v>715</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f>49586.46+10450</f>
        <v>60036.46</v>
      </c>
      <c r="X382" s="221">
        <f t="shared" si="40"/>
        <v>114327.23000000001</v>
      </c>
    </row>
    <row r="383" spans="2:24" ht="78.75">
      <c r="B383" s="298"/>
      <c r="C383" s="298"/>
      <c r="D383" s="309"/>
      <c r="E383" s="95" t="s">
        <v>28</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f>137236.28+28898</f>
        <v>166134.28</v>
      </c>
      <c r="X383" s="221">
        <f t="shared" si="40"/>
        <v>333771.72</v>
      </c>
    </row>
    <row r="384" spans="2:24" ht="94.5">
      <c r="B384" s="298"/>
      <c r="C384" s="298"/>
      <c r="D384" s="309"/>
      <c r="E384" s="95" t="s">
        <v>492</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f>15035.39+3120</f>
        <v>18155.39</v>
      </c>
      <c r="X384" s="221">
        <f t="shared" si="40"/>
        <v>59228.61</v>
      </c>
    </row>
    <row r="385" spans="2:24" ht="78.75">
      <c r="B385" s="298"/>
      <c r="C385" s="298"/>
      <c r="D385" s="309"/>
      <c r="E385" s="95" t="s">
        <v>493</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298"/>
      <c r="C386" s="298"/>
      <c r="D386" s="309"/>
      <c r="E386" s="95" t="s">
        <v>610</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298"/>
      <c r="C387" s="298"/>
      <c r="D387" s="309"/>
      <c r="E387" s="96" t="s">
        <v>611</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298"/>
      <c r="C388" s="298"/>
      <c r="D388" s="309"/>
      <c r="E388" s="96" t="s">
        <v>612</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298"/>
      <c r="C389" s="298"/>
      <c r="D389" s="309"/>
      <c r="E389" s="96" t="s">
        <v>613</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298"/>
      <c r="C390" s="298"/>
      <c r="D390" s="309"/>
      <c r="E390" s="96" t="s">
        <v>614</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298"/>
      <c r="C391" s="298"/>
      <c r="D391" s="309"/>
      <c r="E391" s="96" t="s">
        <v>615</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298"/>
      <c r="C392" s="298"/>
      <c r="D392" s="309"/>
      <c r="E392" s="96" t="s">
        <v>616</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298"/>
      <c r="C393" s="298"/>
      <c r="D393" s="309"/>
      <c r="E393" s="96" t="s">
        <v>617</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298"/>
      <c r="C394" s="298"/>
      <c r="D394" s="309"/>
      <c r="E394" s="96" t="s">
        <v>618</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298"/>
      <c r="C395" s="298"/>
      <c r="D395" s="309"/>
      <c r="E395" s="96" t="s">
        <v>619</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298"/>
      <c r="C396" s="298"/>
      <c r="D396" s="309"/>
      <c r="E396" s="96" t="s">
        <v>620</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298"/>
      <c r="C397" s="298"/>
      <c r="D397" s="309"/>
      <c r="E397" s="96" t="s">
        <v>621</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298"/>
      <c r="C398" s="298"/>
      <c r="D398" s="309"/>
      <c r="E398" s="96" t="s">
        <v>622</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298"/>
      <c r="C399" s="298"/>
      <c r="D399" s="309"/>
      <c r="E399" s="96" t="s">
        <v>623</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298"/>
      <c r="C400" s="298"/>
      <c r="D400" s="309"/>
      <c r="E400" s="96" t="s">
        <v>624</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0"/>
      <c r="C401" s="300"/>
      <c r="D401" s="311"/>
      <c r="E401" s="96" t="s">
        <v>625</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297" t="s">
        <v>772</v>
      </c>
      <c r="C402" s="297" t="s">
        <v>368</v>
      </c>
      <c r="D402" s="308" t="s">
        <v>345</v>
      </c>
      <c r="E402" s="94"/>
      <c r="F402" s="76"/>
      <c r="G402" s="99"/>
      <c r="H402" s="235"/>
      <c r="I402" s="266"/>
      <c r="J402" s="222">
        <f>J403+J407+J410+J411+J413+J418+J419+J428+J430+J412+J426+J429+J425+J427</f>
        <v>4756511.55</v>
      </c>
      <c r="K402" s="222">
        <f aca="true" t="shared" si="48" ref="K402:W402">K403+K407+K410+K411+K413+K418+K419+K428+K430+K412+K426+K429+K425+K427</f>
        <v>0</v>
      </c>
      <c r="L402" s="222">
        <f t="shared" si="48"/>
        <v>703098.3200000001</v>
      </c>
      <c r="M402" s="222">
        <f t="shared" si="48"/>
        <v>3939</v>
      </c>
      <c r="N402" s="222">
        <f t="shared" si="48"/>
        <v>0</v>
      </c>
      <c r="O402" s="222">
        <f t="shared" si="48"/>
        <v>326622</v>
      </c>
      <c r="P402" s="222">
        <f t="shared" si="48"/>
        <v>200000</v>
      </c>
      <c r="Q402" s="222">
        <f t="shared" si="48"/>
        <v>350000</v>
      </c>
      <c r="R402" s="222">
        <f t="shared" si="48"/>
        <v>1449883.84</v>
      </c>
      <c r="S402" s="222">
        <f t="shared" si="48"/>
        <v>974921.99</v>
      </c>
      <c r="T402" s="222">
        <f t="shared" si="48"/>
        <v>748046.4</v>
      </c>
      <c r="U402" s="222">
        <f t="shared" si="48"/>
        <v>0</v>
      </c>
      <c r="V402" s="222">
        <f t="shared" si="48"/>
        <v>0</v>
      </c>
      <c r="W402" s="222">
        <f t="shared" si="48"/>
        <v>1188693.4400000002</v>
      </c>
      <c r="X402" s="221">
        <f t="shared" si="40"/>
        <v>1844849.72</v>
      </c>
    </row>
    <row r="403" spans="2:24" ht="47.25">
      <c r="B403" s="298"/>
      <c r="C403" s="298"/>
      <c r="D403" s="309"/>
      <c r="E403" s="10" t="s">
        <v>346</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298"/>
      <c r="C404" s="298"/>
      <c r="D404" s="309"/>
      <c r="E404" s="11" t="s">
        <v>347</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9">K404+L404+M404+N404+O404+P404+Q404+R404-W404</f>
        <v>0</v>
      </c>
    </row>
    <row r="405" spans="2:24" ht="47.25">
      <c r="B405" s="298"/>
      <c r="C405" s="298"/>
      <c r="D405" s="309"/>
      <c r="E405" s="11" t="s">
        <v>348</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298"/>
      <c r="C406" s="298"/>
      <c r="D406" s="309"/>
      <c r="E406" s="11" t="s">
        <v>716</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298"/>
      <c r="C407" s="298"/>
      <c r="D407" s="309"/>
      <c r="E407" s="10" t="s">
        <v>717</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298"/>
      <c r="C408" s="298"/>
      <c r="D408" s="309"/>
      <c r="E408" s="11" t="s">
        <v>348</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298"/>
      <c r="C409" s="298"/>
      <c r="D409" s="309"/>
      <c r="E409" s="11" t="s">
        <v>716</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298"/>
      <c r="C410" s="298"/>
      <c r="D410" s="309"/>
      <c r="E410" s="10" t="s">
        <v>197</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298"/>
      <c r="C411" s="298"/>
      <c r="D411" s="309"/>
      <c r="E411" s="24" t="s">
        <v>198</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298"/>
      <c r="C412" s="298"/>
      <c r="D412" s="309"/>
      <c r="E412" s="24" t="s">
        <v>59</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298"/>
      <c r="C413" s="298"/>
      <c r="D413" s="309"/>
      <c r="E413" s="88" t="s">
        <v>672</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298"/>
      <c r="C414" s="298"/>
      <c r="D414" s="309"/>
      <c r="E414" s="89" t="s">
        <v>337</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298"/>
      <c r="C415" s="298"/>
      <c r="D415" s="309"/>
      <c r="E415" s="89" t="s">
        <v>338</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298"/>
      <c r="C416" s="298"/>
      <c r="D416" s="309"/>
      <c r="E416" s="89" t="s">
        <v>339</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298"/>
      <c r="C417" s="298"/>
      <c r="D417" s="309"/>
      <c r="E417" s="89" t="s">
        <v>812</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298"/>
      <c r="C418" s="298"/>
      <c r="D418" s="309"/>
      <c r="E418" s="88" t="s">
        <v>172</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298"/>
      <c r="C419" s="298"/>
      <c r="D419" s="309"/>
      <c r="E419" s="88" t="s">
        <v>173</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298"/>
      <c r="C420" s="298"/>
      <c r="D420" s="309"/>
      <c r="E420" s="97" t="s">
        <v>10</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298"/>
      <c r="C421" s="298"/>
      <c r="D421" s="309"/>
      <c r="E421" s="97" t="s">
        <v>11</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298"/>
      <c r="C422" s="298"/>
      <c r="D422" s="309"/>
      <c r="E422" s="97" t="s">
        <v>12</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298"/>
      <c r="C423" s="298"/>
      <c r="D423" s="309"/>
      <c r="E423" s="97" t="s">
        <v>13</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2:24" ht="31.5">
      <c r="B424" s="298"/>
      <c r="C424" s="298"/>
      <c r="D424" s="309"/>
      <c r="E424" s="97" t="s">
        <v>14</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9"/>
        <v>35060</v>
      </c>
    </row>
    <row r="425" spans="2:24" ht="39.75" customHeight="1">
      <c r="B425" s="298"/>
      <c r="C425" s="298"/>
      <c r="D425" s="309"/>
      <c r="E425" s="98" t="s">
        <v>137</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v>18712</v>
      </c>
      <c r="X425" s="221">
        <f t="shared" si="49"/>
        <v>3908</v>
      </c>
    </row>
    <row r="426" spans="2:24" ht="78.75">
      <c r="B426" s="298"/>
      <c r="C426" s="298"/>
      <c r="D426" s="309"/>
      <c r="E426" s="98" t="s">
        <v>15</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f>129559.67</f>
        <v>129559.67</v>
      </c>
      <c r="X426" s="221">
        <f t="shared" si="49"/>
        <v>620440.33</v>
      </c>
    </row>
    <row r="427" spans="2:24" ht="36.75" customHeight="1">
      <c r="B427" s="298"/>
      <c r="C427" s="298"/>
      <c r="D427" s="309"/>
      <c r="E427" s="366" t="s">
        <v>16</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9"/>
        <v>143955.6</v>
      </c>
    </row>
    <row r="428" spans="2:24" ht="31.5" customHeight="1">
      <c r="B428" s="298"/>
      <c r="C428" s="298"/>
      <c r="D428" s="309"/>
      <c r="E428" s="367"/>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9"/>
        <v>0</v>
      </c>
    </row>
    <row r="429" spans="2:24" ht="63">
      <c r="B429" s="298"/>
      <c r="C429" s="298"/>
      <c r="D429" s="309"/>
      <c r="E429" s="88" t="s">
        <v>8</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9"/>
        <v>347238.79000000004</v>
      </c>
    </row>
    <row r="430" spans="2:24" ht="78.75">
      <c r="B430" s="300"/>
      <c r="C430" s="300"/>
      <c r="D430" s="311"/>
      <c r="E430" s="88" t="s">
        <v>9</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9"/>
        <v>0</v>
      </c>
    </row>
    <row r="431" spans="2:24" ht="15.75">
      <c r="B431" s="297" t="s">
        <v>773</v>
      </c>
      <c r="C431" s="297" t="s">
        <v>370</v>
      </c>
      <c r="D431" s="308" t="s">
        <v>369</v>
      </c>
      <c r="E431" s="25"/>
      <c r="F431" s="76"/>
      <c r="G431" s="99"/>
      <c r="H431" s="235"/>
      <c r="I431" s="266"/>
      <c r="J431" s="220">
        <f>J432</f>
        <v>4962</v>
      </c>
      <c r="K431" s="220">
        <f aca="true" t="shared" si="52" ref="K431:W431">K432</f>
        <v>0</v>
      </c>
      <c r="L431" s="220">
        <f t="shared" si="52"/>
        <v>4962</v>
      </c>
      <c r="M431" s="220">
        <f t="shared" si="52"/>
        <v>0</v>
      </c>
      <c r="N431" s="220">
        <f t="shared" si="52"/>
        <v>0</v>
      </c>
      <c r="O431" s="220">
        <f t="shared" si="52"/>
        <v>0</v>
      </c>
      <c r="P431" s="220">
        <f t="shared" si="52"/>
        <v>0</v>
      </c>
      <c r="Q431" s="220">
        <f t="shared" si="52"/>
        <v>0</v>
      </c>
      <c r="R431" s="220">
        <f t="shared" si="52"/>
        <v>0</v>
      </c>
      <c r="S431" s="220">
        <f t="shared" si="52"/>
        <v>0</v>
      </c>
      <c r="T431" s="220">
        <f t="shared" si="52"/>
        <v>0</v>
      </c>
      <c r="U431" s="220">
        <f t="shared" si="52"/>
        <v>0</v>
      </c>
      <c r="V431" s="220">
        <f t="shared" si="52"/>
        <v>0</v>
      </c>
      <c r="W431" s="220">
        <f t="shared" si="52"/>
        <v>4962</v>
      </c>
      <c r="X431" s="221">
        <f t="shared" si="49"/>
        <v>0</v>
      </c>
    </row>
    <row r="432" spans="2:24" ht="63">
      <c r="B432" s="298"/>
      <c r="C432" s="298"/>
      <c r="D432" s="309"/>
      <c r="E432" s="10" t="s">
        <v>199</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9"/>
        <v>0</v>
      </c>
    </row>
    <row r="433" spans="2:24" ht="31.5">
      <c r="B433" s="300"/>
      <c r="C433" s="300"/>
      <c r="D433" s="311"/>
      <c r="E433" s="11" t="s">
        <v>289</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9"/>
        <v>0</v>
      </c>
    </row>
    <row r="434" spans="2:24" ht="15.75">
      <c r="B434" s="297" t="s">
        <v>371</v>
      </c>
      <c r="C434" s="297" t="s">
        <v>365</v>
      </c>
      <c r="D434" s="308" t="s">
        <v>200</v>
      </c>
      <c r="E434" s="25"/>
      <c r="F434" s="76"/>
      <c r="G434" s="99"/>
      <c r="H434" s="235"/>
      <c r="I434" s="266"/>
      <c r="J434" s="220">
        <f>J435+J437+J436</f>
        <v>1222990.1</v>
      </c>
      <c r="K434" s="220">
        <f aca="true" t="shared" si="53" ref="K434:W434">K435+K437+K436</f>
        <v>0</v>
      </c>
      <c r="L434" s="220">
        <f t="shared" si="53"/>
        <v>102744.1</v>
      </c>
      <c r="M434" s="220">
        <f t="shared" si="53"/>
        <v>0</v>
      </c>
      <c r="N434" s="220">
        <f t="shared" si="53"/>
        <v>0</v>
      </c>
      <c r="O434" s="220">
        <f t="shared" si="53"/>
        <v>6500</v>
      </c>
      <c r="P434" s="220">
        <f t="shared" si="53"/>
        <v>81794</v>
      </c>
      <c r="Q434" s="220">
        <f t="shared" si="53"/>
        <v>260000</v>
      </c>
      <c r="R434" s="220">
        <f t="shared" si="53"/>
        <v>660142</v>
      </c>
      <c r="S434" s="220">
        <f t="shared" si="53"/>
        <v>111810</v>
      </c>
      <c r="T434" s="220">
        <f t="shared" si="53"/>
        <v>0</v>
      </c>
      <c r="U434" s="220">
        <f t="shared" si="53"/>
        <v>0</v>
      </c>
      <c r="V434" s="220">
        <f t="shared" si="53"/>
        <v>0</v>
      </c>
      <c r="W434" s="220">
        <f t="shared" si="53"/>
        <v>413398.22</v>
      </c>
      <c r="X434" s="221">
        <f t="shared" si="49"/>
        <v>697781.8800000001</v>
      </c>
    </row>
    <row r="435" spans="2:24" ht="110.25">
      <c r="B435" s="298"/>
      <c r="C435" s="298"/>
      <c r="D435" s="309"/>
      <c r="E435" s="24" t="s">
        <v>201</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9"/>
        <v>0</v>
      </c>
    </row>
    <row r="436" spans="2:24" ht="63">
      <c r="B436" s="299"/>
      <c r="C436" s="299"/>
      <c r="D436" s="310"/>
      <c r="E436" s="24" t="s">
        <v>100</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f>13186.06+30767.46+264852.6</f>
        <v>308806.12</v>
      </c>
      <c r="X436" s="221">
        <f t="shared" si="49"/>
        <v>534383.88</v>
      </c>
    </row>
    <row r="437" spans="2:24" ht="94.5">
      <c r="B437" s="300"/>
      <c r="C437" s="300"/>
      <c r="D437" s="311"/>
      <c r="E437" s="95" t="s">
        <v>508</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v>1848</v>
      </c>
      <c r="X437" s="221">
        <f t="shared" si="49"/>
        <v>163398</v>
      </c>
    </row>
    <row r="438" spans="2:24" ht="15.75">
      <c r="B438" s="204"/>
      <c r="C438" s="205"/>
      <c r="D438" s="348" t="s">
        <v>531</v>
      </c>
      <c r="E438" s="349"/>
      <c r="F438" s="100"/>
      <c r="G438" s="101"/>
      <c r="H438" s="234"/>
      <c r="I438" s="265"/>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957209.2000000001</v>
      </c>
      <c r="X438" s="221">
        <f t="shared" si="49"/>
        <v>973774.1999999998</v>
      </c>
    </row>
    <row r="439" spans="2:24" ht="15.75">
      <c r="B439" s="304" t="s">
        <v>827</v>
      </c>
      <c r="C439" s="351" t="s">
        <v>825</v>
      </c>
      <c r="D439" s="308" t="s">
        <v>109</v>
      </c>
      <c r="E439" s="94"/>
      <c r="F439" s="76"/>
      <c r="G439" s="99"/>
      <c r="H439" s="235"/>
      <c r="I439" s="266"/>
      <c r="J439" s="222">
        <f>SUM(J440:J445)</f>
        <v>743000</v>
      </c>
      <c r="K439" s="222">
        <f aca="true" t="shared" si="55" ref="K439:W439">SUM(K440:K445)</f>
        <v>0</v>
      </c>
      <c r="L439" s="222">
        <f t="shared" si="55"/>
        <v>0</v>
      </c>
      <c r="M439" s="222">
        <f t="shared" si="55"/>
        <v>0</v>
      </c>
      <c r="N439" s="222">
        <f t="shared" si="55"/>
        <v>0</v>
      </c>
      <c r="O439" s="222">
        <f t="shared" si="55"/>
        <v>85500</v>
      </c>
      <c r="P439" s="222">
        <f t="shared" si="55"/>
        <v>0</v>
      </c>
      <c r="Q439" s="222">
        <f t="shared" si="55"/>
        <v>0</v>
      </c>
      <c r="R439" s="222">
        <f t="shared" si="55"/>
        <v>657500</v>
      </c>
      <c r="S439" s="222">
        <f t="shared" si="55"/>
        <v>0</v>
      </c>
      <c r="T439" s="222">
        <f t="shared" si="55"/>
        <v>0</v>
      </c>
      <c r="U439" s="222">
        <f t="shared" si="55"/>
        <v>0</v>
      </c>
      <c r="V439" s="222">
        <f t="shared" si="55"/>
        <v>0</v>
      </c>
      <c r="W439" s="222">
        <f t="shared" si="55"/>
        <v>173096.4</v>
      </c>
      <c r="X439" s="221">
        <f t="shared" si="49"/>
        <v>569903.6</v>
      </c>
    </row>
    <row r="440" spans="2:24" ht="63">
      <c r="B440" s="305"/>
      <c r="C440" s="352"/>
      <c r="D440" s="309"/>
      <c r="E440" s="94" t="s">
        <v>509</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9"/>
        <v>204100</v>
      </c>
    </row>
    <row r="441" spans="2:24" ht="63">
      <c r="B441" s="305"/>
      <c r="C441" s="352"/>
      <c r="D441" s="309"/>
      <c r="E441" s="94" t="s">
        <v>510</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9"/>
        <v>134400</v>
      </c>
    </row>
    <row r="442" spans="2:24" ht="157.5">
      <c r="B442" s="305"/>
      <c r="C442" s="352"/>
      <c r="D442" s="309"/>
      <c r="E442" s="94" t="s">
        <v>511</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9"/>
        <v>290000</v>
      </c>
    </row>
    <row r="443" spans="2:24" ht="94.5">
      <c r="B443" s="305"/>
      <c r="C443" s="352"/>
      <c r="D443" s="309"/>
      <c r="E443" s="94" t="s">
        <v>523</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9"/>
        <v>29000</v>
      </c>
    </row>
    <row r="444" spans="2:24" ht="47.25">
      <c r="B444" s="305"/>
      <c r="C444" s="352"/>
      <c r="D444" s="309"/>
      <c r="E444" s="94" t="s">
        <v>524</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9"/>
        <v>0</v>
      </c>
    </row>
    <row r="445" spans="2:24" ht="47.25">
      <c r="B445" s="306"/>
      <c r="C445" s="353"/>
      <c r="D445" s="311"/>
      <c r="E445" s="94" t="s">
        <v>525</v>
      </c>
      <c r="F445" s="76"/>
      <c r="G445" s="99"/>
      <c r="H445" s="235"/>
      <c r="I445" s="266">
        <v>3110</v>
      </c>
      <c r="J445" s="76">
        <v>40500</v>
      </c>
      <c r="K445" s="147"/>
      <c r="L445" s="147"/>
      <c r="M445" s="147"/>
      <c r="N445" s="147"/>
      <c r="O445" s="147">
        <v>40500</v>
      </c>
      <c r="P445" s="147"/>
      <c r="Q445" s="147"/>
      <c r="R445" s="147"/>
      <c r="S445" s="147"/>
      <c r="T445" s="147"/>
      <c r="U445" s="147"/>
      <c r="V445" s="147"/>
      <c r="W445" s="147">
        <f>40500+87596.4</f>
        <v>128096.4</v>
      </c>
      <c r="X445" s="221">
        <f t="shared" si="49"/>
        <v>-87596.4</v>
      </c>
    </row>
    <row r="446" spans="2:24" ht="15.75">
      <c r="B446" s="304" t="s">
        <v>53</v>
      </c>
      <c r="C446" s="304" t="s">
        <v>824</v>
      </c>
      <c r="D446" s="308" t="s">
        <v>52</v>
      </c>
      <c r="E446" s="94"/>
      <c r="F446" s="76"/>
      <c r="G446" s="99"/>
      <c r="H446" s="235"/>
      <c r="I446" s="266"/>
      <c r="J446" s="222">
        <f>J447</f>
        <v>248250</v>
      </c>
      <c r="K446" s="222">
        <f aca="true" t="shared" si="56" ref="K446:W446">K447</f>
        <v>0</v>
      </c>
      <c r="L446" s="222">
        <f t="shared" si="56"/>
        <v>0</v>
      </c>
      <c r="M446" s="222">
        <f t="shared" si="56"/>
        <v>0</v>
      </c>
      <c r="N446" s="222">
        <f t="shared" si="56"/>
        <v>4000</v>
      </c>
      <c r="O446" s="222">
        <f t="shared" si="56"/>
        <v>50000</v>
      </c>
      <c r="P446" s="222">
        <f t="shared" si="56"/>
        <v>50000</v>
      </c>
      <c r="Q446" s="222">
        <f t="shared" si="56"/>
        <v>50000</v>
      </c>
      <c r="R446" s="222">
        <f t="shared" si="56"/>
        <v>50000</v>
      </c>
      <c r="S446" s="222">
        <f t="shared" si="56"/>
        <v>44250</v>
      </c>
      <c r="T446" s="222">
        <f t="shared" si="56"/>
        <v>0</v>
      </c>
      <c r="U446" s="222">
        <f t="shared" si="56"/>
        <v>0</v>
      </c>
      <c r="V446" s="222">
        <f t="shared" si="56"/>
        <v>0</v>
      </c>
      <c r="W446" s="222">
        <f t="shared" si="56"/>
        <v>53874</v>
      </c>
      <c r="X446" s="221">
        <f t="shared" si="49"/>
        <v>150126</v>
      </c>
    </row>
    <row r="447" spans="2:24" ht="78.75">
      <c r="B447" s="306"/>
      <c r="C447" s="306"/>
      <c r="D447" s="311"/>
      <c r="E447" s="145" t="s">
        <v>583</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f>
        <v>53874</v>
      </c>
      <c r="X447" s="221">
        <f t="shared" si="49"/>
        <v>150126</v>
      </c>
    </row>
    <row r="448" spans="2:24" ht="15.75">
      <c r="B448" s="297" t="s">
        <v>783</v>
      </c>
      <c r="C448" s="297" t="s">
        <v>202</v>
      </c>
      <c r="D448" s="308" t="s">
        <v>349</v>
      </c>
      <c r="E448" s="94"/>
      <c r="F448" s="76"/>
      <c r="G448" s="99"/>
      <c r="H448" s="235"/>
      <c r="I448" s="266"/>
      <c r="J448" s="222">
        <f>SUM(J449:J455)</f>
        <v>1009183.4</v>
      </c>
      <c r="K448" s="222">
        <f aca="true" t="shared" si="57" ref="K448:W448">SUM(K449:K455)</f>
        <v>0</v>
      </c>
      <c r="L448" s="222">
        <f t="shared" si="57"/>
        <v>85683.4</v>
      </c>
      <c r="M448" s="222">
        <f t="shared" si="57"/>
        <v>0</v>
      </c>
      <c r="N448" s="222">
        <f t="shared" si="57"/>
        <v>0</v>
      </c>
      <c r="O448" s="222">
        <f t="shared" si="57"/>
        <v>48300</v>
      </c>
      <c r="P448" s="222">
        <f t="shared" si="57"/>
        <v>300000</v>
      </c>
      <c r="Q448" s="222">
        <f t="shared" si="57"/>
        <v>300000</v>
      </c>
      <c r="R448" s="222">
        <f t="shared" si="57"/>
        <v>250000</v>
      </c>
      <c r="S448" s="222">
        <f t="shared" si="57"/>
        <v>25200</v>
      </c>
      <c r="T448" s="222">
        <f t="shared" si="57"/>
        <v>0</v>
      </c>
      <c r="U448" s="222">
        <f t="shared" si="57"/>
        <v>0</v>
      </c>
      <c r="V448" s="222">
        <f t="shared" si="57"/>
        <v>0</v>
      </c>
      <c r="W448" s="222">
        <f t="shared" si="57"/>
        <v>730238.8</v>
      </c>
      <c r="X448" s="221">
        <f t="shared" si="49"/>
        <v>253744.59999999998</v>
      </c>
    </row>
    <row r="449" spans="2:24" ht="94.5">
      <c r="B449" s="298"/>
      <c r="C449" s="298"/>
      <c r="D449" s="309"/>
      <c r="E449" s="27" t="s">
        <v>350</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9"/>
        <v>0</v>
      </c>
    </row>
    <row r="450" spans="2:24" ht="110.25">
      <c r="B450" s="298"/>
      <c r="C450" s="298"/>
      <c r="D450" s="309"/>
      <c r="E450" s="27" t="s">
        <v>107</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9"/>
        <v>5</v>
      </c>
    </row>
    <row r="451" spans="2:24" ht="94.5">
      <c r="B451" s="298"/>
      <c r="C451" s="298"/>
      <c r="D451" s="309"/>
      <c r="E451" s="27" t="s">
        <v>4</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9"/>
        <v>0</v>
      </c>
    </row>
    <row r="452" spans="2:24" ht="78.75">
      <c r="B452" s="298"/>
      <c r="C452" s="298"/>
      <c r="D452" s="309"/>
      <c r="E452" s="27" t="s">
        <v>81</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9"/>
        <v>2309</v>
      </c>
    </row>
    <row r="453" spans="2:24" ht="126">
      <c r="B453" s="298"/>
      <c r="C453" s="298"/>
      <c r="D453" s="309"/>
      <c r="E453" s="27" t="s">
        <v>557</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1406.4+254567.7+342595.3</f>
        <v>598569.4</v>
      </c>
      <c r="X453" s="221">
        <f t="shared" si="49"/>
        <v>251430.59999999998</v>
      </c>
    </row>
    <row r="454" spans="2:24" ht="63">
      <c r="B454" s="298"/>
      <c r="C454" s="298"/>
      <c r="D454" s="309"/>
      <c r="E454" s="27" t="s">
        <v>558</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9"/>
        <v>0</v>
      </c>
    </row>
    <row r="455" spans="2:24" ht="110.25">
      <c r="B455" s="300"/>
      <c r="C455" s="300"/>
      <c r="D455" s="311"/>
      <c r="E455" s="27" t="s">
        <v>351</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9"/>
        <v>0</v>
      </c>
    </row>
    <row r="456" spans="2:24" ht="15.75">
      <c r="B456" s="204"/>
      <c r="C456" s="205"/>
      <c r="D456" s="348" t="s">
        <v>532</v>
      </c>
      <c r="E456" s="349"/>
      <c r="F456" s="100"/>
      <c r="G456" s="101"/>
      <c r="H456" s="234"/>
      <c r="I456" s="265"/>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13337744.33</v>
      </c>
      <c r="X456" s="221">
        <f t="shared" si="49"/>
        <v>41879586.7</v>
      </c>
    </row>
    <row r="457" spans="2:24" ht="15.75">
      <c r="B457" s="351" t="s">
        <v>827</v>
      </c>
      <c r="C457" s="351" t="s">
        <v>825</v>
      </c>
      <c r="D457" s="308" t="s">
        <v>109</v>
      </c>
      <c r="E457" s="94"/>
      <c r="F457" s="76"/>
      <c r="G457" s="99"/>
      <c r="H457" s="235"/>
      <c r="I457" s="266"/>
      <c r="J457" s="222">
        <f>J458</f>
        <v>33000</v>
      </c>
      <c r="K457" s="222">
        <f aca="true" t="shared" si="59" ref="K457:W457">K458</f>
        <v>0</v>
      </c>
      <c r="L457" s="222">
        <f t="shared" si="59"/>
        <v>0</v>
      </c>
      <c r="M457" s="222">
        <f t="shared" si="59"/>
        <v>0</v>
      </c>
      <c r="N457" s="222">
        <f t="shared" si="59"/>
        <v>0</v>
      </c>
      <c r="O457" s="222">
        <f t="shared" si="59"/>
        <v>33000</v>
      </c>
      <c r="P457" s="222">
        <f t="shared" si="59"/>
        <v>0</v>
      </c>
      <c r="Q457" s="222">
        <f t="shared" si="59"/>
        <v>0</v>
      </c>
      <c r="R457" s="222">
        <f t="shared" si="59"/>
        <v>0</v>
      </c>
      <c r="S457" s="222">
        <f t="shared" si="59"/>
        <v>0</v>
      </c>
      <c r="T457" s="222">
        <f t="shared" si="59"/>
        <v>0</v>
      </c>
      <c r="U457" s="222">
        <f t="shared" si="59"/>
        <v>0</v>
      </c>
      <c r="V457" s="222">
        <f t="shared" si="59"/>
        <v>0</v>
      </c>
      <c r="W457" s="222">
        <f t="shared" si="59"/>
        <v>32788</v>
      </c>
      <c r="X457" s="221">
        <f t="shared" si="49"/>
        <v>212</v>
      </c>
    </row>
    <row r="458" spans="2:24" ht="15.75">
      <c r="B458" s="353"/>
      <c r="C458" s="353"/>
      <c r="D458" s="311"/>
      <c r="E458" s="103" t="s">
        <v>559</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9"/>
        <v>212</v>
      </c>
    </row>
    <row r="459" spans="2:24" ht="15.75">
      <c r="B459" s="297" t="s">
        <v>574</v>
      </c>
      <c r="C459" s="297" t="s">
        <v>373</v>
      </c>
      <c r="D459" s="308" t="s">
        <v>374</v>
      </c>
      <c r="E459" s="94"/>
      <c r="F459" s="76"/>
      <c r="G459" s="99"/>
      <c r="H459" s="235"/>
      <c r="I459" s="266"/>
      <c r="J459" s="222">
        <f>SUM(J460:J474)</f>
        <v>12268274.52</v>
      </c>
      <c r="K459" s="222">
        <f aca="true" t="shared" si="60" ref="K459:W459">SUM(K460:K474)</f>
        <v>0</v>
      </c>
      <c r="L459" s="222">
        <f t="shared" si="60"/>
        <v>1210094.84</v>
      </c>
      <c r="M459" s="222">
        <f t="shared" si="60"/>
        <v>549979.68</v>
      </c>
      <c r="N459" s="222">
        <f t="shared" si="60"/>
        <v>0</v>
      </c>
      <c r="O459" s="222">
        <f t="shared" si="60"/>
        <v>2072682.39</v>
      </c>
      <c r="P459" s="222">
        <f t="shared" si="60"/>
        <v>1830992.5</v>
      </c>
      <c r="Q459" s="222">
        <f t="shared" si="60"/>
        <v>1347416.84</v>
      </c>
      <c r="R459" s="222">
        <f t="shared" si="60"/>
        <v>1480533.75</v>
      </c>
      <c r="S459" s="222">
        <f t="shared" si="60"/>
        <v>1074578.75</v>
      </c>
      <c r="T459" s="222">
        <f t="shared" si="60"/>
        <v>1013174.25</v>
      </c>
      <c r="U459" s="222">
        <f t="shared" si="60"/>
        <v>706349.52</v>
      </c>
      <c r="V459" s="222">
        <f t="shared" si="60"/>
        <v>982472</v>
      </c>
      <c r="W459" s="222">
        <f t="shared" si="60"/>
        <v>4719411.91</v>
      </c>
      <c r="X459" s="221">
        <f t="shared" si="49"/>
        <v>3772288.09</v>
      </c>
    </row>
    <row r="460" spans="2:24" ht="63">
      <c r="B460" s="298"/>
      <c r="C460" s="298"/>
      <c r="D460" s="309"/>
      <c r="E460" s="19" t="s">
        <v>376</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9"/>
        <v>0</v>
      </c>
    </row>
    <row r="461" spans="2:24" ht="110.25">
      <c r="B461" s="298"/>
      <c r="C461" s="298"/>
      <c r="D461" s="309"/>
      <c r="E461" s="19" t="s">
        <v>0</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9"/>
        <v>0</v>
      </c>
    </row>
    <row r="462" spans="2:24" ht="78.75">
      <c r="B462" s="298"/>
      <c r="C462" s="298"/>
      <c r="D462" s="309"/>
      <c r="E462" s="28" t="s">
        <v>529</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9"/>
        <v>0</v>
      </c>
    </row>
    <row r="463" spans="2:24" ht="78.75">
      <c r="B463" s="298"/>
      <c r="C463" s="298"/>
      <c r="D463" s="309"/>
      <c r="E463" s="28" t="s">
        <v>582</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9"/>
        <v>0</v>
      </c>
    </row>
    <row r="464" spans="2:24" ht="63">
      <c r="B464" s="298"/>
      <c r="C464" s="298"/>
      <c r="D464" s="309"/>
      <c r="E464" s="28" t="s">
        <v>530</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9"/>
        <v>0</v>
      </c>
    </row>
    <row r="465" spans="2:24" ht="47.25">
      <c r="B465" s="298"/>
      <c r="C465" s="298"/>
      <c r="D465" s="309"/>
      <c r="E465" s="28" t="s">
        <v>543</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9"/>
        <v>0</v>
      </c>
    </row>
    <row r="466" spans="2:24" ht="47.25">
      <c r="B466" s="298"/>
      <c r="C466" s="298"/>
      <c r="D466" s="309"/>
      <c r="E466" s="28" t="s">
        <v>544</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9"/>
        <v>0</v>
      </c>
    </row>
    <row r="467" spans="2:24" ht="63">
      <c r="B467" s="298"/>
      <c r="C467" s="298"/>
      <c r="D467" s="309"/>
      <c r="E467" s="28" t="s">
        <v>545</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9"/>
        <v>0</v>
      </c>
    </row>
    <row r="468" spans="2:24" ht="47.25">
      <c r="B468" s="298"/>
      <c r="C468" s="298"/>
      <c r="D468" s="309"/>
      <c r="E468" s="28" t="s">
        <v>39</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9"/>
        <v>0</v>
      </c>
    </row>
    <row r="469" spans="2:24" ht="47.25">
      <c r="B469" s="298"/>
      <c r="C469" s="298"/>
      <c r="D469" s="309"/>
      <c r="E469" s="28" t="s">
        <v>723</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9"/>
        <v>0</v>
      </c>
    </row>
    <row r="470" spans="2:24" ht="157.5">
      <c r="B470" s="298"/>
      <c r="C470" s="298"/>
      <c r="D470" s="309"/>
      <c r="E470" s="105" t="s">
        <v>585</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98532+75072+7774.8+20214+6333.6+426782.42+6478+903421.49+11470.8+153872.01+12488+796503.81+18852+2613.6+205562.4+3116.4+27112.4+57500.54+92178.72</f>
        <v>2925878.99</v>
      </c>
      <c r="X470" s="221">
        <f aca="true" t="shared" si="61" ref="X470:X534">K470+L470+M470+N470+O470+P470+Q470+R470-W470</f>
        <v>3461746.4899999993</v>
      </c>
    </row>
    <row r="471" spans="2:24" ht="78.75">
      <c r="B471" s="298"/>
      <c r="C471" s="298"/>
      <c r="D471" s="309"/>
      <c r="E471" s="10" t="s">
        <v>809</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1"/>
        <v>0</v>
      </c>
    </row>
    <row r="472" spans="2:24" ht="31.5">
      <c r="B472" s="298"/>
      <c r="C472" s="298"/>
      <c r="D472" s="309"/>
      <c r="E472" s="10" t="s">
        <v>810</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1"/>
        <v>96541.6</v>
      </c>
    </row>
    <row r="473" spans="2:24" ht="31.5">
      <c r="B473" s="298"/>
      <c r="C473" s="298"/>
      <c r="D473" s="309"/>
      <c r="E473" s="108" t="s">
        <v>386</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1"/>
        <v>184000</v>
      </c>
    </row>
    <row r="474" spans="2:24" ht="47.25">
      <c r="B474" s="298"/>
      <c r="C474" s="298"/>
      <c r="D474" s="309"/>
      <c r="E474" s="108" t="s">
        <v>811</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1"/>
        <v>30000</v>
      </c>
    </row>
    <row r="475" spans="2:24" ht="15.75">
      <c r="B475" s="304" t="s">
        <v>575</v>
      </c>
      <c r="C475" s="304" t="s">
        <v>373</v>
      </c>
      <c r="D475" s="292" t="s">
        <v>291</v>
      </c>
      <c r="E475" s="28"/>
      <c r="F475" s="76"/>
      <c r="G475" s="99"/>
      <c r="H475" s="235"/>
      <c r="I475" s="266"/>
      <c r="J475" s="220">
        <f>SUM(J476:J477)</f>
        <v>3069537.25</v>
      </c>
      <c r="K475" s="220">
        <f aca="true" t="shared" si="62" ref="K475:W475">SUM(K476:K477)</f>
        <v>0</v>
      </c>
      <c r="L475" s="220">
        <f t="shared" si="62"/>
        <v>0</v>
      </c>
      <c r="M475" s="220">
        <f t="shared" si="62"/>
        <v>0</v>
      </c>
      <c r="N475" s="220">
        <f t="shared" si="62"/>
        <v>0</v>
      </c>
      <c r="O475" s="220">
        <f t="shared" si="62"/>
        <v>1069537.25</v>
      </c>
      <c r="P475" s="220">
        <f t="shared" si="62"/>
        <v>500000</v>
      </c>
      <c r="Q475" s="220">
        <f t="shared" si="62"/>
        <v>500000</v>
      </c>
      <c r="R475" s="220">
        <f t="shared" si="62"/>
        <v>500000</v>
      </c>
      <c r="S475" s="220">
        <f t="shared" si="62"/>
        <v>500000</v>
      </c>
      <c r="T475" s="220">
        <f t="shared" si="62"/>
        <v>0</v>
      </c>
      <c r="U475" s="220">
        <f t="shared" si="62"/>
        <v>0</v>
      </c>
      <c r="V475" s="220">
        <f t="shared" si="62"/>
        <v>0</v>
      </c>
      <c r="W475" s="220">
        <f t="shared" si="62"/>
        <v>721192.08</v>
      </c>
      <c r="X475" s="221">
        <f t="shared" si="61"/>
        <v>1848345.17</v>
      </c>
    </row>
    <row r="476" spans="2:24" ht="94.5">
      <c r="B476" s="305"/>
      <c r="C476" s="305"/>
      <c r="D476" s="292"/>
      <c r="E476" s="12" t="s">
        <v>176</v>
      </c>
      <c r="F476" s="76"/>
      <c r="G476" s="99"/>
      <c r="H476" s="235"/>
      <c r="I476" s="262" t="s">
        <v>98</v>
      </c>
      <c r="J476" s="21">
        <f>1500000+1000000-3791.32</f>
        <v>2496208.68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14592.89+7454.93+38024.16+49998.22+7501.31+34084</f>
        <v>151655.51</v>
      </c>
      <c r="X476" s="221">
        <f t="shared" si="61"/>
        <v>1844553.17</v>
      </c>
    </row>
    <row r="477" spans="2:24" ht="31.5">
      <c r="B477" s="306"/>
      <c r="C477" s="306"/>
      <c r="D477" s="292"/>
      <c r="E477" s="12" t="s">
        <v>247</v>
      </c>
      <c r="F477" s="76"/>
      <c r="G477" s="99"/>
      <c r="H477" s="235"/>
      <c r="I477" s="266">
        <v>3210</v>
      </c>
      <c r="J477" s="21">
        <f>569537.25+3791.32</f>
        <v>573328.57</v>
      </c>
      <c r="K477" s="147"/>
      <c r="L477" s="147"/>
      <c r="M477" s="147"/>
      <c r="N477" s="147"/>
      <c r="O477" s="147">
        <v>569537.25</v>
      </c>
      <c r="P477" s="147"/>
      <c r="Q477" s="147"/>
      <c r="R477" s="147">
        <f>3791.32</f>
        <v>3791.32</v>
      </c>
      <c r="S477" s="147"/>
      <c r="T477" s="147"/>
      <c r="U477" s="147"/>
      <c r="V477" s="147"/>
      <c r="W477" s="147">
        <v>569536.57</v>
      </c>
      <c r="X477" s="221">
        <f t="shared" si="61"/>
        <v>3792</v>
      </c>
    </row>
    <row r="478" spans="2:24" ht="15.75">
      <c r="B478" s="297" t="s">
        <v>831</v>
      </c>
      <c r="C478" s="297" t="s">
        <v>832</v>
      </c>
      <c r="D478" s="308" t="s">
        <v>671</v>
      </c>
      <c r="E478" s="28"/>
      <c r="F478" s="76"/>
      <c r="G478" s="99"/>
      <c r="H478" s="235"/>
      <c r="I478" s="266"/>
      <c r="J478" s="220">
        <f>SUM(J479:J495)</f>
        <v>5383840.26</v>
      </c>
      <c r="K478" s="220">
        <f aca="true" t="shared" si="63" ref="K478:W478">SUM(K479:K495)</f>
        <v>0</v>
      </c>
      <c r="L478" s="220">
        <f t="shared" si="63"/>
        <v>185354.47999999998</v>
      </c>
      <c r="M478" s="220">
        <f t="shared" si="63"/>
        <v>0</v>
      </c>
      <c r="N478" s="220">
        <f t="shared" si="63"/>
        <v>0</v>
      </c>
      <c r="O478" s="220">
        <f t="shared" si="63"/>
        <v>513320.11</v>
      </c>
      <c r="P478" s="220">
        <f t="shared" si="63"/>
        <v>460952</v>
      </c>
      <c r="Q478" s="220">
        <f t="shared" si="63"/>
        <v>1200000</v>
      </c>
      <c r="R478" s="220">
        <f t="shared" si="63"/>
        <v>1561295.7799999998</v>
      </c>
      <c r="S478" s="220">
        <f t="shared" si="63"/>
        <v>254080.21</v>
      </c>
      <c r="T478" s="220">
        <f t="shared" si="63"/>
        <v>100000</v>
      </c>
      <c r="U478" s="220">
        <f t="shared" si="63"/>
        <v>1108837.68</v>
      </c>
      <c r="V478" s="220">
        <f t="shared" si="63"/>
        <v>0</v>
      </c>
      <c r="W478" s="220">
        <f t="shared" si="63"/>
        <v>487420.55</v>
      </c>
      <c r="X478" s="221">
        <f t="shared" si="61"/>
        <v>3433501.82</v>
      </c>
    </row>
    <row r="479" spans="2:24" ht="94.5">
      <c r="B479" s="298"/>
      <c r="C479" s="298"/>
      <c r="D479" s="309"/>
      <c r="E479" s="28" t="s">
        <v>340</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1"/>
        <v>0</v>
      </c>
    </row>
    <row r="480" spans="2:24" ht="63">
      <c r="B480" s="298"/>
      <c r="C480" s="298"/>
      <c r="D480" s="309"/>
      <c r="E480" s="12" t="s">
        <v>341</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1"/>
        <v>0</v>
      </c>
    </row>
    <row r="481" spans="2:24" ht="78.75">
      <c r="B481" s="298"/>
      <c r="C481" s="298"/>
      <c r="D481" s="309"/>
      <c r="E481" s="29" t="s">
        <v>342</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1"/>
        <v>0</v>
      </c>
    </row>
    <row r="482" spans="2:24" ht="63">
      <c r="B482" s="298"/>
      <c r="C482" s="298"/>
      <c r="D482" s="309"/>
      <c r="E482" s="10" t="s">
        <v>177</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1"/>
        <v>234829</v>
      </c>
    </row>
    <row r="483" spans="2:24" ht="63">
      <c r="B483" s="298"/>
      <c r="C483" s="298"/>
      <c r="D483" s="309"/>
      <c r="E483" s="10" t="s">
        <v>178</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1"/>
        <v>81270</v>
      </c>
    </row>
    <row r="484" spans="2:24" ht="31.5">
      <c r="B484" s="298"/>
      <c r="C484" s="298"/>
      <c r="D484" s="309"/>
      <c r="E484" s="52" t="s">
        <v>179</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1"/>
        <v>45652</v>
      </c>
    </row>
    <row r="485" spans="2:24" ht="78.75">
      <c r="B485" s="298"/>
      <c r="C485" s="298"/>
      <c r="D485" s="309"/>
      <c r="E485" s="10" t="s">
        <v>180</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1"/>
        <v>189396.93</v>
      </c>
    </row>
    <row r="486" spans="2:24" ht="78.75">
      <c r="B486" s="298"/>
      <c r="C486" s="298"/>
      <c r="D486" s="309"/>
      <c r="E486" s="10" t="s">
        <v>777</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1"/>
        <v>49000</v>
      </c>
    </row>
    <row r="487" spans="2:24" ht="78.75">
      <c r="B487" s="298"/>
      <c r="C487" s="298"/>
      <c r="D487" s="309"/>
      <c r="E487" s="10" t="s">
        <v>778</v>
      </c>
      <c r="F487" s="109"/>
      <c r="G487" s="106"/>
      <c r="H487" s="241"/>
      <c r="I487" s="268">
        <v>3122</v>
      </c>
      <c r="J487" s="21">
        <v>56300</v>
      </c>
      <c r="K487" s="147"/>
      <c r="L487" s="147"/>
      <c r="M487" s="147"/>
      <c r="N487" s="147"/>
      <c r="O487" s="147">
        <v>25000</v>
      </c>
      <c r="P487" s="147">
        <v>31300</v>
      </c>
      <c r="Q487" s="147"/>
      <c r="R487" s="147"/>
      <c r="S487" s="147"/>
      <c r="T487" s="147"/>
      <c r="U487" s="147"/>
      <c r="V487" s="147"/>
      <c r="W487" s="147">
        <v>14385</v>
      </c>
      <c r="X487" s="221">
        <f t="shared" si="61"/>
        <v>41915</v>
      </c>
    </row>
    <row r="488" spans="2:24" ht="63">
      <c r="B488" s="298"/>
      <c r="C488" s="298"/>
      <c r="D488" s="309"/>
      <c r="E488" s="110" t="s">
        <v>125</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f>13885+101508</f>
        <v>115393</v>
      </c>
      <c r="X488" s="221">
        <f t="shared" si="61"/>
        <v>112407</v>
      </c>
    </row>
    <row r="489" spans="2:24" ht="78.75">
      <c r="B489" s="298"/>
      <c r="C489" s="298"/>
      <c r="D489" s="309"/>
      <c r="E489" s="10" t="s">
        <v>126</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f>21885+139800</f>
        <v>161685</v>
      </c>
      <c r="X489" s="221">
        <f t="shared" si="61"/>
        <v>188315</v>
      </c>
    </row>
    <row r="490" spans="2:24" ht="31.5">
      <c r="B490" s="298"/>
      <c r="C490" s="298"/>
      <c r="D490" s="309"/>
      <c r="E490" s="108" t="s">
        <v>127</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1"/>
        <v>50000</v>
      </c>
    </row>
    <row r="491" spans="2:24" ht="47.25">
      <c r="B491" s="298"/>
      <c r="C491" s="298"/>
      <c r="D491" s="309"/>
      <c r="E491" s="108" t="s">
        <v>128</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1"/>
        <v>2440716.8899999997</v>
      </c>
    </row>
    <row r="492" spans="2:24" ht="47.25">
      <c r="B492" s="298"/>
      <c r="C492" s="298"/>
      <c r="D492" s="309"/>
      <c r="E492" s="12" t="s">
        <v>129</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1"/>
        <v>0</v>
      </c>
    </row>
    <row r="493" spans="2:24" ht="47.25">
      <c r="B493" s="298"/>
      <c r="C493" s="298"/>
      <c r="D493" s="309"/>
      <c r="E493" s="12" t="s">
        <v>130</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1"/>
        <v>0</v>
      </c>
    </row>
    <row r="494" spans="2:24" ht="63">
      <c r="B494" s="298"/>
      <c r="C494" s="298"/>
      <c r="D494" s="309"/>
      <c r="E494" s="12" t="s">
        <v>131</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1"/>
        <v>0</v>
      </c>
    </row>
    <row r="495" spans="2:24" ht="94.5">
      <c r="B495" s="300"/>
      <c r="C495" s="300"/>
      <c r="D495" s="311"/>
      <c r="E495" s="10" t="s">
        <v>132</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1"/>
        <v>0</v>
      </c>
    </row>
    <row r="496" spans="2:24" ht="15.75">
      <c r="B496" s="304" t="s">
        <v>45</v>
      </c>
      <c r="C496" s="304" t="s">
        <v>46</v>
      </c>
      <c r="D496" s="308" t="s">
        <v>781</v>
      </c>
      <c r="E496" s="29"/>
      <c r="F496" s="14"/>
      <c r="G496" s="18"/>
      <c r="H496" s="240"/>
      <c r="I496" s="268"/>
      <c r="J496" s="220">
        <f>J497+J498</f>
        <v>32048234.95</v>
      </c>
      <c r="K496" s="220">
        <f aca="true" t="shared" si="64" ref="K496:W496">K497+K498</f>
        <v>0</v>
      </c>
      <c r="L496" s="220">
        <f t="shared" si="64"/>
        <v>0</v>
      </c>
      <c r="M496" s="220">
        <f t="shared" si="64"/>
        <v>0</v>
      </c>
      <c r="N496" s="220">
        <f t="shared" si="64"/>
        <v>0</v>
      </c>
      <c r="O496" s="220">
        <f t="shared" si="64"/>
        <v>0</v>
      </c>
      <c r="P496" s="220">
        <f t="shared" si="64"/>
        <v>0</v>
      </c>
      <c r="Q496" s="220">
        <f t="shared" si="64"/>
        <v>0</v>
      </c>
      <c r="R496" s="220">
        <f t="shared" si="64"/>
        <v>16016000</v>
      </c>
      <c r="S496" s="220">
        <f t="shared" si="64"/>
        <v>16032234.95</v>
      </c>
      <c r="T496" s="220">
        <f t="shared" si="64"/>
        <v>0</v>
      </c>
      <c r="U496" s="220">
        <f t="shared" si="64"/>
        <v>0</v>
      </c>
      <c r="V496" s="220">
        <f t="shared" si="64"/>
        <v>0</v>
      </c>
      <c r="W496" s="220">
        <f t="shared" si="64"/>
        <v>0</v>
      </c>
      <c r="X496" s="221">
        <f t="shared" si="61"/>
        <v>16016000</v>
      </c>
    </row>
    <row r="497" spans="2:24" ht="31.5">
      <c r="B497" s="305"/>
      <c r="C497" s="305"/>
      <c r="D497" s="309"/>
      <c r="E497" s="105" t="s">
        <v>133</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1"/>
        <v>16016000</v>
      </c>
    </row>
    <row r="498" spans="2:24" ht="15.75" hidden="1">
      <c r="B498" s="306"/>
      <c r="C498" s="306"/>
      <c r="D498" s="311"/>
      <c r="E498" s="105" t="s">
        <v>134</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1"/>
        <v>0</v>
      </c>
    </row>
    <row r="499" spans="2:24" ht="15.75">
      <c r="B499" s="297" t="s">
        <v>343</v>
      </c>
      <c r="C499" s="297" t="s">
        <v>219</v>
      </c>
      <c r="D499" s="308" t="s">
        <v>344</v>
      </c>
      <c r="E499" s="29"/>
      <c r="F499" s="76"/>
      <c r="G499" s="18"/>
      <c r="H499" s="235"/>
      <c r="I499" s="266"/>
      <c r="J499" s="220">
        <f>SUM(J500:J522)</f>
        <v>17916888.87</v>
      </c>
      <c r="K499" s="220">
        <f aca="true" t="shared" si="65" ref="K499:W499">SUM(K500:K522)</f>
        <v>0</v>
      </c>
      <c r="L499" s="220">
        <f t="shared" si="65"/>
        <v>1236888.87</v>
      </c>
      <c r="M499" s="220">
        <f>SUM(M500:M522)</f>
        <v>0</v>
      </c>
      <c r="N499" s="220">
        <f t="shared" si="65"/>
        <v>0</v>
      </c>
      <c r="O499" s="220">
        <f t="shared" si="65"/>
        <v>3130000</v>
      </c>
      <c r="P499" s="220">
        <f t="shared" si="65"/>
        <v>950000</v>
      </c>
      <c r="Q499" s="220">
        <f t="shared" si="65"/>
        <v>3350000</v>
      </c>
      <c r="R499" s="220">
        <f t="shared" si="65"/>
        <v>3076000</v>
      </c>
      <c r="S499" s="220">
        <f t="shared" si="65"/>
        <v>3340267.79</v>
      </c>
      <c r="T499" s="220">
        <f t="shared" si="65"/>
        <v>1809732.21</v>
      </c>
      <c r="U499" s="220">
        <f t="shared" si="65"/>
        <v>600000</v>
      </c>
      <c r="V499" s="220">
        <f t="shared" si="65"/>
        <v>424000</v>
      </c>
      <c r="W499" s="220">
        <f t="shared" si="65"/>
        <v>4803236.5600000005</v>
      </c>
      <c r="X499" s="221">
        <f t="shared" si="61"/>
        <v>6939652.3100000005</v>
      </c>
    </row>
    <row r="500" spans="2:24" ht="31.5">
      <c r="B500" s="298"/>
      <c r="C500" s="298"/>
      <c r="D500" s="309"/>
      <c r="E500" s="29" t="s">
        <v>710</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1"/>
        <v>0</v>
      </c>
    </row>
    <row r="501" spans="2:24" ht="63">
      <c r="B501" s="298"/>
      <c r="C501" s="298"/>
      <c r="D501" s="309"/>
      <c r="E501" s="12" t="s">
        <v>209</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1"/>
        <v>0</v>
      </c>
    </row>
    <row r="502" spans="2:24" ht="47.25">
      <c r="B502" s="298"/>
      <c r="C502" s="298"/>
      <c r="D502" s="309"/>
      <c r="E502" s="12" t="s">
        <v>210</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1"/>
        <v>0</v>
      </c>
    </row>
    <row r="503" spans="2:24" ht="47.25">
      <c r="B503" s="298"/>
      <c r="C503" s="298"/>
      <c r="D503" s="309"/>
      <c r="E503" s="12" t="s">
        <v>211</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1"/>
        <v>0</v>
      </c>
    </row>
    <row r="504" spans="2:24" ht="47.25">
      <c r="B504" s="298"/>
      <c r="C504" s="298"/>
      <c r="D504" s="309"/>
      <c r="E504" s="12" t="s">
        <v>212</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1"/>
        <v>0</v>
      </c>
    </row>
    <row r="505" spans="2:24" ht="15.75">
      <c r="B505" s="298"/>
      <c r="C505" s="298"/>
      <c r="D505" s="309"/>
      <c r="E505" s="361" t="s">
        <v>164</v>
      </c>
      <c r="F505" s="30"/>
      <c r="G505" s="18"/>
      <c r="H505" s="240"/>
      <c r="I505" s="333">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1"/>
        <v>5308417</v>
      </c>
    </row>
    <row r="506" spans="2:24" ht="15.75">
      <c r="B506" s="298"/>
      <c r="C506" s="298"/>
      <c r="D506" s="309"/>
      <c r="E506" s="362"/>
      <c r="F506" s="30"/>
      <c r="G506" s="18"/>
      <c r="H506" s="240"/>
      <c r="I506" s="334"/>
      <c r="J506" s="9">
        <f>10000000-8909732.21</f>
        <v>1090267.789999999</v>
      </c>
      <c r="K506" s="147"/>
      <c r="L506" s="147"/>
      <c r="M506" s="147"/>
      <c r="N506" s="147"/>
      <c r="O506" s="147"/>
      <c r="P506" s="147"/>
      <c r="Q506" s="147"/>
      <c r="R506" s="147"/>
      <c r="S506" s="147"/>
      <c r="T506" s="147">
        <v>490267.79</v>
      </c>
      <c r="U506" s="147">
        <v>600000</v>
      </c>
      <c r="V506" s="147"/>
      <c r="W506" s="147"/>
      <c r="X506" s="221">
        <f t="shared" si="61"/>
        <v>0</v>
      </c>
    </row>
    <row r="507" spans="2:24" ht="47.25">
      <c r="B507" s="298"/>
      <c r="C507" s="298"/>
      <c r="D507" s="309"/>
      <c r="E507" s="12" t="s">
        <v>162</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1"/>
        <v>100000</v>
      </c>
    </row>
    <row r="508" spans="2:24" ht="47.25">
      <c r="B508" s="298"/>
      <c r="C508" s="298"/>
      <c r="D508" s="309"/>
      <c r="E508" s="12" t="s">
        <v>163</v>
      </c>
      <c r="F508" s="109"/>
      <c r="G508" s="111"/>
      <c r="H508" s="241"/>
      <c r="I508" s="268">
        <v>3132</v>
      </c>
      <c r="J508" s="21">
        <v>450000</v>
      </c>
      <c r="K508" s="213"/>
      <c r="L508" s="213"/>
      <c r="M508" s="213"/>
      <c r="N508" s="213"/>
      <c r="O508" s="213">
        <v>450000</v>
      </c>
      <c r="P508" s="213"/>
      <c r="Q508" s="213"/>
      <c r="R508" s="213">
        <f>-200000</f>
        <v>-200000</v>
      </c>
      <c r="S508" s="213">
        <v>200000</v>
      </c>
      <c r="T508" s="213"/>
      <c r="U508" s="213"/>
      <c r="V508" s="213"/>
      <c r="W508" s="147">
        <f>17000+209206</f>
        <v>226206</v>
      </c>
      <c r="X508" s="221">
        <f t="shared" si="61"/>
        <v>23794</v>
      </c>
    </row>
    <row r="509" spans="2:24" ht="47.25">
      <c r="B509" s="298"/>
      <c r="C509" s="298"/>
      <c r="D509" s="309"/>
      <c r="E509" s="10" t="s">
        <v>790</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595000+158794+13540.35+82605.77</f>
        <v>849940.12</v>
      </c>
      <c r="X509" s="221">
        <f t="shared" si="61"/>
        <v>110059.88</v>
      </c>
    </row>
    <row r="510" spans="2:24" ht="15.75">
      <c r="B510" s="298"/>
      <c r="C510" s="298"/>
      <c r="D510" s="309"/>
      <c r="E510" s="10" t="s">
        <v>196</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1"/>
        <v>68546.53</v>
      </c>
    </row>
    <row r="511" spans="2:24" ht="31.5">
      <c r="B511" s="298"/>
      <c r="C511" s="298"/>
      <c r="D511" s="309"/>
      <c r="E511" s="10" t="s">
        <v>490</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1"/>
        <v>260000</v>
      </c>
    </row>
    <row r="512" spans="2:24" ht="31.5">
      <c r="B512" s="298"/>
      <c r="C512" s="298"/>
      <c r="D512" s="309"/>
      <c r="E512" s="10" t="s">
        <v>491</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1"/>
        <v>50000</v>
      </c>
    </row>
    <row r="513" spans="2:24" ht="31.5">
      <c r="B513" s="298"/>
      <c r="C513" s="298"/>
      <c r="D513" s="309"/>
      <c r="E513" s="10" t="s">
        <v>793</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734925.13+339393+18811.97</f>
        <v>1093130.0999999999</v>
      </c>
      <c r="X513" s="221">
        <f t="shared" si="61"/>
        <v>6869.90000000014</v>
      </c>
    </row>
    <row r="514" spans="2:24" ht="63">
      <c r="B514" s="298"/>
      <c r="C514" s="298"/>
      <c r="D514" s="309"/>
      <c r="E514" s="10" t="s">
        <v>794</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1"/>
        <v>76000</v>
      </c>
    </row>
    <row r="515" spans="2:24" ht="63">
      <c r="B515" s="298"/>
      <c r="C515" s="298"/>
      <c r="D515" s="309"/>
      <c r="E515" s="10" t="s">
        <v>203</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1"/>
        <v>40000</v>
      </c>
    </row>
    <row r="516" spans="2:24" ht="78.75">
      <c r="B516" s="298"/>
      <c r="C516" s="298"/>
      <c r="D516" s="309"/>
      <c r="E516" s="10" t="s">
        <v>166</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1"/>
        <v>60000</v>
      </c>
    </row>
    <row r="517" spans="2:24" ht="63">
      <c r="B517" s="298"/>
      <c r="C517" s="298"/>
      <c r="D517" s="309"/>
      <c r="E517" s="10" t="s">
        <v>167</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1"/>
        <v>289166.27</v>
      </c>
    </row>
    <row r="518" spans="2:24" ht="63">
      <c r="B518" s="298"/>
      <c r="C518" s="298"/>
      <c r="D518" s="309"/>
      <c r="E518" s="52" t="s">
        <v>795</v>
      </c>
      <c r="F518" s="113"/>
      <c r="G518" s="115"/>
      <c r="H518" s="239"/>
      <c r="I518" s="268">
        <v>3132</v>
      </c>
      <c r="J518" s="112">
        <v>650000</v>
      </c>
      <c r="K518" s="213"/>
      <c r="L518" s="213"/>
      <c r="M518" s="213"/>
      <c r="N518" s="213"/>
      <c r="O518" s="213">
        <v>650000</v>
      </c>
      <c r="P518" s="213"/>
      <c r="Q518" s="213"/>
      <c r="R518" s="213">
        <f>-200000</f>
        <v>-200000</v>
      </c>
      <c r="S518" s="213">
        <v>200000</v>
      </c>
      <c r="T518" s="213"/>
      <c r="U518" s="213"/>
      <c r="V518" s="213"/>
      <c r="W518" s="147">
        <f>9702.61+121416+193587.53</f>
        <v>324706.14</v>
      </c>
      <c r="X518" s="221">
        <f t="shared" si="61"/>
        <v>125293.85999999999</v>
      </c>
    </row>
    <row r="519" spans="2:24" ht="47.25">
      <c r="B519" s="298"/>
      <c r="C519" s="298"/>
      <c r="D519" s="309"/>
      <c r="E519" s="52" t="s">
        <v>204</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1"/>
        <v>250000</v>
      </c>
    </row>
    <row r="520" spans="2:24" ht="47.25">
      <c r="B520" s="298"/>
      <c r="C520" s="298"/>
      <c r="D520" s="309"/>
      <c r="E520" s="52" t="s">
        <v>205</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1"/>
        <v>120000</v>
      </c>
    </row>
    <row r="521" spans="2:24" ht="48.75" customHeight="1">
      <c r="B521" s="299"/>
      <c r="C521" s="299"/>
      <c r="D521" s="310"/>
      <c r="E521" s="52" t="s">
        <v>135</v>
      </c>
      <c r="F521" s="113"/>
      <c r="G521" s="115"/>
      <c r="H521" s="239"/>
      <c r="I521" s="268">
        <v>3132</v>
      </c>
      <c r="J521" s="21">
        <v>1120000</v>
      </c>
      <c r="K521" s="213"/>
      <c r="L521" s="213"/>
      <c r="M521" s="213"/>
      <c r="N521" s="213"/>
      <c r="O521" s="213"/>
      <c r="P521" s="213"/>
      <c r="Q521" s="213"/>
      <c r="R521" s="213">
        <f>520000+400000</f>
        <v>920000</v>
      </c>
      <c r="S521" s="213">
        <f>600000-400000</f>
        <v>200000</v>
      </c>
      <c r="T521" s="213"/>
      <c r="U521" s="213"/>
      <c r="V521" s="213"/>
      <c r="W521" s="147">
        <v>918495.13</v>
      </c>
      <c r="X521" s="221">
        <f t="shared" si="61"/>
        <v>1504.8699999999953</v>
      </c>
    </row>
    <row r="522" spans="2:24" ht="31.5">
      <c r="B522" s="300"/>
      <c r="C522" s="300"/>
      <c r="D522" s="311"/>
      <c r="E522" s="52" t="s">
        <v>206</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1"/>
        <v>50000</v>
      </c>
    </row>
    <row r="523" spans="2:24" ht="15.75">
      <c r="B523" s="354" t="s">
        <v>764</v>
      </c>
      <c r="C523" s="354" t="s">
        <v>832</v>
      </c>
      <c r="D523" s="292" t="s">
        <v>461</v>
      </c>
      <c r="E523" s="29"/>
      <c r="F523" s="14"/>
      <c r="G523" s="18"/>
      <c r="H523" s="240"/>
      <c r="I523" s="268"/>
      <c r="J523" s="220">
        <f>J536+J563+J565+J539+J530+J533+J561+J528+J526+J524</f>
        <v>14452398.7</v>
      </c>
      <c r="K523" s="220">
        <f aca="true" t="shared" si="66" ref="K523:W523">K536+K563+K565+K539+K530+K533+K561+K528+K526+K524</f>
        <v>0</v>
      </c>
      <c r="L523" s="220">
        <f t="shared" si="66"/>
        <v>0</v>
      </c>
      <c r="M523" s="220">
        <f t="shared" si="66"/>
        <v>0</v>
      </c>
      <c r="N523" s="220">
        <f t="shared" si="66"/>
        <v>0</v>
      </c>
      <c r="O523" s="220">
        <f t="shared" si="66"/>
        <v>994424.8</v>
      </c>
      <c r="P523" s="220">
        <f t="shared" si="66"/>
        <v>4409759.9</v>
      </c>
      <c r="Q523" s="220">
        <f t="shared" si="66"/>
        <v>2734800</v>
      </c>
      <c r="R523" s="220">
        <f t="shared" si="66"/>
        <v>1877434</v>
      </c>
      <c r="S523" s="220">
        <f t="shared" si="66"/>
        <v>1846205</v>
      </c>
      <c r="T523" s="220">
        <f t="shared" si="66"/>
        <v>385800</v>
      </c>
      <c r="U523" s="220">
        <f t="shared" si="66"/>
        <v>385800</v>
      </c>
      <c r="V523" s="220">
        <f t="shared" si="66"/>
        <v>1818175</v>
      </c>
      <c r="W523" s="220">
        <f t="shared" si="66"/>
        <v>1818183.2599999998</v>
      </c>
      <c r="X523" s="221">
        <f t="shared" si="61"/>
        <v>8198235.4399999995</v>
      </c>
    </row>
    <row r="524" spans="2:24" ht="31.5">
      <c r="B524" s="354"/>
      <c r="C524" s="354"/>
      <c r="D524" s="292"/>
      <c r="E524" s="119" t="s">
        <v>245</v>
      </c>
      <c r="F524" s="14"/>
      <c r="G524" s="18"/>
      <c r="H524" s="240"/>
      <c r="I524" s="268"/>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221">
        <f t="shared" si="61"/>
        <v>0</v>
      </c>
    </row>
    <row r="525" spans="2:24" ht="47.25">
      <c r="B525" s="354"/>
      <c r="C525" s="354"/>
      <c r="D525" s="292"/>
      <c r="E525" s="10" t="s">
        <v>246</v>
      </c>
      <c r="F525" s="14"/>
      <c r="G525" s="18"/>
      <c r="H525" s="240"/>
      <c r="I525" s="268">
        <v>3210</v>
      </c>
      <c r="J525" s="9">
        <v>18754.7</v>
      </c>
      <c r="K525" s="9"/>
      <c r="L525" s="9"/>
      <c r="M525" s="9"/>
      <c r="N525" s="9"/>
      <c r="O525" s="9"/>
      <c r="P525" s="9">
        <v>18754.7</v>
      </c>
      <c r="Q525" s="9"/>
      <c r="R525" s="9"/>
      <c r="S525" s="9"/>
      <c r="T525" s="9"/>
      <c r="U525" s="9"/>
      <c r="V525" s="9"/>
      <c r="W525" s="9">
        <v>18754.7</v>
      </c>
      <c r="X525" s="221">
        <f t="shared" si="61"/>
        <v>0</v>
      </c>
    </row>
    <row r="526" spans="2:24" ht="31.5">
      <c r="B526" s="354"/>
      <c r="C526" s="354"/>
      <c r="D526" s="292"/>
      <c r="E526" s="123" t="s">
        <v>387</v>
      </c>
      <c r="F526" s="14"/>
      <c r="G526" s="18"/>
      <c r="H526" s="240"/>
      <c r="I526" s="268"/>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221">
        <f t="shared" si="61"/>
        <v>400000</v>
      </c>
    </row>
    <row r="527" spans="2:24" ht="15.75">
      <c r="B527" s="354"/>
      <c r="C527" s="354"/>
      <c r="D527" s="292"/>
      <c r="E527" s="12" t="s">
        <v>388</v>
      </c>
      <c r="F527" s="14"/>
      <c r="G527" s="18"/>
      <c r="H527" s="240"/>
      <c r="I527" s="268">
        <v>3210</v>
      </c>
      <c r="J527" s="9">
        <v>400000</v>
      </c>
      <c r="K527" s="9"/>
      <c r="L527" s="9"/>
      <c r="M527" s="9"/>
      <c r="N527" s="9"/>
      <c r="O527" s="9"/>
      <c r="P527" s="9"/>
      <c r="Q527" s="9"/>
      <c r="R527" s="9">
        <v>400000</v>
      </c>
      <c r="S527" s="9"/>
      <c r="T527" s="9"/>
      <c r="U527" s="9"/>
      <c r="V527" s="9"/>
      <c r="W527" s="9"/>
      <c r="X527" s="221">
        <f t="shared" si="61"/>
        <v>400000</v>
      </c>
    </row>
    <row r="528" spans="2:24" ht="31.5">
      <c r="B528" s="354"/>
      <c r="C528" s="354"/>
      <c r="D528" s="292"/>
      <c r="E528" s="116" t="s">
        <v>796</v>
      </c>
      <c r="F528" s="37"/>
      <c r="G528" s="84"/>
      <c r="H528" s="242"/>
      <c r="I528" s="269"/>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221">
        <f t="shared" si="61"/>
        <v>306430</v>
      </c>
    </row>
    <row r="529" spans="2:24" ht="63">
      <c r="B529" s="354"/>
      <c r="C529" s="354"/>
      <c r="D529" s="292"/>
      <c r="E529" s="29" t="s">
        <v>696</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360000+3570</f>
        <v>363570</v>
      </c>
      <c r="X529" s="221">
        <f t="shared" si="61"/>
        <v>306430</v>
      </c>
    </row>
    <row r="530" spans="2:24" ht="31.5">
      <c r="B530" s="354"/>
      <c r="C530" s="354"/>
      <c r="D530" s="292"/>
      <c r="E530" s="116" t="s">
        <v>797</v>
      </c>
      <c r="F530" s="14"/>
      <c r="G530" s="18"/>
      <c r="H530" s="240"/>
      <c r="I530" s="268"/>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221">
        <f t="shared" si="61"/>
        <v>78800</v>
      </c>
    </row>
    <row r="531" spans="2:24" ht="47.25">
      <c r="B531" s="354"/>
      <c r="C531" s="354"/>
      <c r="D531" s="292"/>
      <c r="E531" s="10" t="s">
        <v>798</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47.25">
      <c r="B532" s="354"/>
      <c r="C532" s="354"/>
      <c r="D532" s="292"/>
      <c r="E532" s="118" t="s">
        <v>799</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1"/>
        <v>39400</v>
      </c>
    </row>
    <row r="533" spans="2:24" ht="31.5">
      <c r="B533" s="354"/>
      <c r="C533" s="354"/>
      <c r="D533" s="292"/>
      <c r="E533" s="119" t="s">
        <v>800</v>
      </c>
      <c r="F533" s="14"/>
      <c r="G533" s="18"/>
      <c r="H533" s="240"/>
      <c r="I533" s="268"/>
      <c r="J533" s="77">
        <f>SUM(J534:J535)</f>
        <v>254434</v>
      </c>
      <c r="K533" s="77">
        <f aca="true" t="shared" si="71" ref="K533:W533">SUM(K534:K535)</f>
        <v>0</v>
      </c>
      <c r="L533" s="77">
        <f t="shared" si="71"/>
        <v>0</v>
      </c>
      <c r="M533" s="77">
        <f t="shared" si="71"/>
        <v>0</v>
      </c>
      <c r="N533" s="77">
        <f t="shared" si="71"/>
        <v>0</v>
      </c>
      <c r="O533" s="77">
        <f t="shared" si="71"/>
        <v>0</v>
      </c>
      <c r="P533" s="77">
        <f t="shared" si="71"/>
        <v>0</v>
      </c>
      <c r="Q533" s="77">
        <f t="shared" si="71"/>
        <v>0</v>
      </c>
      <c r="R533" s="77">
        <f t="shared" si="71"/>
        <v>26934</v>
      </c>
      <c r="S533" s="77">
        <f t="shared" si="71"/>
        <v>75900</v>
      </c>
      <c r="T533" s="77">
        <f t="shared" si="71"/>
        <v>75800</v>
      </c>
      <c r="U533" s="77">
        <f t="shared" si="71"/>
        <v>75800</v>
      </c>
      <c r="V533" s="77">
        <f t="shared" si="71"/>
        <v>0</v>
      </c>
      <c r="W533" s="77">
        <f t="shared" si="71"/>
        <v>14434</v>
      </c>
      <c r="X533" s="221">
        <f t="shared" si="61"/>
        <v>12500</v>
      </c>
    </row>
    <row r="534" spans="2:24" ht="63">
      <c r="B534" s="354"/>
      <c r="C534" s="354"/>
      <c r="D534" s="292"/>
      <c r="E534" s="10" t="s">
        <v>300</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1"/>
        <v>12500</v>
      </c>
    </row>
    <row r="535" spans="2:24" ht="31.5">
      <c r="B535" s="354"/>
      <c r="C535" s="354"/>
      <c r="D535" s="292"/>
      <c r="E535" s="10" t="s">
        <v>699</v>
      </c>
      <c r="F535" s="14"/>
      <c r="G535" s="18"/>
      <c r="H535" s="240"/>
      <c r="I535" s="268">
        <v>3210</v>
      </c>
      <c r="J535" s="21">
        <v>14434</v>
      </c>
      <c r="K535" s="211"/>
      <c r="L535" s="211"/>
      <c r="M535" s="211"/>
      <c r="N535" s="211"/>
      <c r="O535" s="211"/>
      <c r="P535" s="211"/>
      <c r="Q535" s="211"/>
      <c r="R535" s="211">
        <v>14434</v>
      </c>
      <c r="S535" s="211"/>
      <c r="T535" s="211"/>
      <c r="U535" s="211"/>
      <c r="V535" s="211"/>
      <c r="W535" s="147">
        <v>14434</v>
      </c>
      <c r="X535" s="221">
        <f aca="true" t="shared" si="72" ref="X535:X603">K535+L535+M535+N535+O535+P535+Q535+R535-W535</f>
        <v>0</v>
      </c>
    </row>
    <row r="536" spans="2:24" ht="31.5">
      <c r="B536" s="354"/>
      <c r="C536" s="354"/>
      <c r="D536" s="292"/>
      <c r="E536" s="39" t="s">
        <v>168</v>
      </c>
      <c r="F536" s="120"/>
      <c r="G536" s="120"/>
      <c r="H536" s="243"/>
      <c r="I536" s="268"/>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221">
        <f t="shared" si="72"/>
        <v>223857.6</v>
      </c>
    </row>
    <row r="537" spans="2:24" ht="31.5">
      <c r="B537" s="354"/>
      <c r="C537" s="354"/>
      <c r="D537" s="292"/>
      <c r="E537" s="121" t="s">
        <v>169</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f>132124.8+94017.6</f>
        <v>226142.4</v>
      </c>
      <c r="X537" s="221">
        <f t="shared" si="72"/>
        <v>73857.6</v>
      </c>
    </row>
    <row r="538" spans="2:24" ht="63">
      <c r="B538" s="354"/>
      <c r="C538" s="354"/>
      <c r="D538" s="292"/>
      <c r="E538" s="12" t="s">
        <v>170</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2"/>
        <v>150000</v>
      </c>
    </row>
    <row r="539" spans="2:24" ht="31.5">
      <c r="B539" s="354"/>
      <c r="C539" s="354"/>
      <c r="D539" s="292"/>
      <c r="E539" s="123" t="s">
        <v>171</v>
      </c>
      <c r="F539" s="124"/>
      <c r="G539" s="125"/>
      <c r="H539" s="246"/>
      <c r="I539" s="268"/>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1195282.16</v>
      </c>
      <c r="X539" s="221">
        <f t="shared" si="72"/>
        <v>5901617.84</v>
      </c>
    </row>
    <row r="540" spans="2:24" ht="63">
      <c r="B540" s="354"/>
      <c r="C540" s="354"/>
      <c r="D540" s="292"/>
      <c r="E540" s="12" t="s">
        <v>805</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2"/>
        <v>250000</v>
      </c>
    </row>
    <row r="541" spans="2:24" ht="78.75">
      <c r="B541" s="354"/>
      <c r="C541" s="354"/>
      <c r="D541" s="292"/>
      <c r="E541" s="12" t="s">
        <v>698</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f>10164.48</f>
        <v>10164.48</v>
      </c>
      <c r="X541" s="221">
        <f t="shared" si="72"/>
        <v>789835.52</v>
      </c>
    </row>
    <row r="542" spans="2:24" ht="47.25">
      <c r="B542" s="354"/>
      <c r="C542" s="354"/>
      <c r="D542" s="292"/>
      <c r="E542" s="24" t="s">
        <v>701</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2"/>
        <v>0</v>
      </c>
    </row>
    <row r="543" spans="2:24" ht="63">
      <c r="B543" s="354"/>
      <c r="C543" s="354"/>
      <c r="D543" s="292"/>
      <c r="E543" s="24" t="s">
        <v>702</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2"/>
        <v>0</v>
      </c>
    </row>
    <row r="544" spans="2:24" ht="63">
      <c r="B544" s="354"/>
      <c r="C544" s="354"/>
      <c r="D544" s="292"/>
      <c r="E544" s="12" t="s">
        <v>297</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2"/>
        <v>380000</v>
      </c>
    </row>
    <row r="545" spans="2:24" ht="63">
      <c r="B545" s="354"/>
      <c r="C545" s="354"/>
      <c r="D545" s="292"/>
      <c r="E545" s="24" t="s">
        <v>186</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2"/>
        <v>163427.44</v>
      </c>
    </row>
    <row r="546" spans="2:24" ht="47.25">
      <c r="B546" s="354"/>
      <c r="C546" s="354"/>
      <c r="D546" s="292"/>
      <c r="E546" s="24" t="s">
        <v>187</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2"/>
        <v>100000</v>
      </c>
    </row>
    <row r="547" spans="2:24" ht="47.25">
      <c r="B547" s="354"/>
      <c r="C547" s="354"/>
      <c r="D547" s="292"/>
      <c r="E547" s="24" t="s">
        <v>188</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2"/>
        <v>500000</v>
      </c>
    </row>
    <row r="548" spans="2:24" ht="63">
      <c r="B548" s="354"/>
      <c r="C548" s="354"/>
      <c r="D548" s="292"/>
      <c r="E548" s="24" t="s">
        <v>189</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f>10164.48</f>
        <v>10164.48</v>
      </c>
      <c r="X548" s="221">
        <f t="shared" si="72"/>
        <v>1682835.52</v>
      </c>
    </row>
    <row r="549" spans="2:24" ht="63">
      <c r="B549" s="354"/>
      <c r="C549" s="354"/>
      <c r="D549" s="292"/>
      <c r="E549" s="24" t="s">
        <v>358</v>
      </c>
      <c r="F549" s="109"/>
      <c r="G549" s="109"/>
      <c r="H549" s="241"/>
      <c r="I549" s="268">
        <v>3210</v>
      </c>
      <c r="J549" s="21">
        <v>1046000</v>
      </c>
      <c r="K549" s="147"/>
      <c r="L549" s="147"/>
      <c r="M549" s="147"/>
      <c r="N549" s="147"/>
      <c r="O549" s="147"/>
      <c r="P549" s="147"/>
      <c r="Q549" s="147">
        <v>1046000</v>
      </c>
      <c r="R549" s="147"/>
      <c r="S549" s="147"/>
      <c r="T549" s="147"/>
      <c r="U549" s="147"/>
      <c r="V549" s="147"/>
      <c r="W549" s="147">
        <f>10287.46</f>
        <v>10287.46</v>
      </c>
      <c r="X549" s="221">
        <f t="shared" si="72"/>
        <v>1035712.54</v>
      </c>
    </row>
    <row r="550" spans="2:24" ht="63">
      <c r="B550" s="354"/>
      <c r="C550" s="354"/>
      <c r="D550" s="292"/>
      <c r="E550" s="24" t="s">
        <v>220</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2"/>
        <v>0</v>
      </c>
    </row>
    <row r="551" spans="2:24" ht="63">
      <c r="B551" s="354"/>
      <c r="C551" s="354"/>
      <c r="D551" s="292"/>
      <c r="E551" s="12" t="s">
        <v>298</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2"/>
        <v>110000</v>
      </c>
    </row>
    <row r="552" spans="2:24" ht="63">
      <c r="B552" s="354"/>
      <c r="C552" s="354"/>
      <c r="D552" s="292"/>
      <c r="E552" s="126" t="s">
        <v>299</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2"/>
        <v>35000</v>
      </c>
    </row>
    <row r="553" spans="2:24" ht="47.25">
      <c r="B553" s="354"/>
      <c r="C553" s="354"/>
      <c r="D553" s="292"/>
      <c r="E553" s="108" t="s">
        <v>221</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2"/>
        <v>67700</v>
      </c>
    </row>
    <row r="554" spans="2:24" ht="47.25">
      <c r="B554" s="354"/>
      <c r="C554" s="354"/>
      <c r="D554" s="292"/>
      <c r="E554" s="108" t="s">
        <v>222</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2"/>
        <v>252858.22999999998</v>
      </c>
    </row>
    <row r="555" spans="2:24" ht="31.5">
      <c r="B555" s="354"/>
      <c r="C555" s="354"/>
      <c r="D555" s="292"/>
      <c r="E555" s="108" t="s">
        <v>223</v>
      </c>
      <c r="F555" s="109"/>
      <c r="G555" s="109"/>
      <c r="H555" s="241"/>
      <c r="I555" s="268">
        <v>3210</v>
      </c>
      <c r="J555" s="21">
        <v>62400</v>
      </c>
      <c r="K555" s="147"/>
      <c r="L555" s="147"/>
      <c r="M555" s="147"/>
      <c r="N555" s="147"/>
      <c r="O555" s="147"/>
      <c r="P555" s="147">
        <v>62400</v>
      </c>
      <c r="Q555" s="147"/>
      <c r="R555" s="147"/>
      <c r="S555" s="147"/>
      <c r="T555" s="147"/>
      <c r="U555" s="147"/>
      <c r="V555" s="147"/>
      <c r="W555" s="147">
        <f>5098.28+32512</f>
        <v>37610.28</v>
      </c>
      <c r="X555" s="221">
        <f t="shared" si="72"/>
        <v>24789.72</v>
      </c>
    </row>
    <row r="556" spans="2:24" ht="63">
      <c r="B556" s="354"/>
      <c r="C556" s="354"/>
      <c r="D556" s="292"/>
      <c r="E556" s="108" t="s">
        <v>224</v>
      </c>
      <c r="F556" s="109"/>
      <c r="G556" s="109"/>
      <c r="H556" s="241"/>
      <c r="I556" s="268">
        <v>3210</v>
      </c>
      <c r="J556" s="21">
        <v>61100</v>
      </c>
      <c r="K556" s="147"/>
      <c r="L556" s="147"/>
      <c r="M556" s="147"/>
      <c r="N556" s="147"/>
      <c r="O556" s="147">
        <v>61100</v>
      </c>
      <c r="P556" s="147"/>
      <c r="Q556" s="147"/>
      <c r="R556" s="147"/>
      <c r="S556" s="147"/>
      <c r="T556" s="147"/>
      <c r="U556" s="147"/>
      <c r="V556" s="147"/>
      <c r="W556" s="147">
        <f>5523.1+31122.83</f>
        <v>36645.93</v>
      </c>
      <c r="X556" s="221">
        <f t="shared" si="72"/>
        <v>24454.07</v>
      </c>
    </row>
    <row r="557" spans="2:24" ht="94.5" hidden="1">
      <c r="B557" s="354"/>
      <c r="C557" s="354"/>
      <c r="D557" s="292"/>
      <c r="E557" s="24" t="s">
        <v>639</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2"/>
        <v>0</v>
      </c>
    </row>
    <row r="558" spans="2:24" ht="63.75" customHeight="1">
      <c r="B558" s="354"/>
      <c r="C558" s="354"/>
      <c r="D558" s="292"/>
      <c r="E558" s="291" t="s">
        <v>803</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2"/>
        <v>210400</v>
      </c>
    </row>
    <row r="559" spans="2:24" ht="63.75" customHeight="1">
      <c r="B559" s="354"/>
      <c r="C559" s="354"/>
      <c r="D559" s="292"/>
      <c r="E559" s="291" t="s">
        <v>804</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2"/>
        <v>212400</v>
      </c>
    </row>
    <row r="560" spans="2:24" ht="47.25">
      <c r="B560" s="354"/>
      <c r="C560" s="354"/>
      <c r="D560" s="292"/>
      <c r="E560" s="108" t="s">
        <v>225</v>
      </c>
      <c r="F560" s="109"/>
      <c r="G560" s="109"/>
      <c r="H560" s="241"/>
      <c r="I560" s="268">
        <v>3210</v>
      </c>
      <c r="J560" s="21">
        <v>200000</v>
      </c>
      <c r="K560" s="147"/>
      <c r="L560" s="147"/>
      <c r="M560" s="147"/>
      <c r="N560" s="147"/>
      <c r="O560" s="147">
        <v>200000</v>
      </c>
      <c r="P560" s="147"/>
      <c r="Q560" s="147"/>
      <c r="R560" s="147"/>
      <c r="S560" s="147"/>
      <c r="T560" s="147"/>
      <c r="U560" s="147"/>
      <c r="V560" s="147"/>
      <c r="W560" s="147">
        <f>6964+130831.2</f>
        <v>137795.2</v>
      </c>
      <c r="X560" s="221">
        <f t="shared" si="72"/>
        <v>62204.79999999999</v>
      </c>
    </row>
    <row r="561" spans="2:24" ht="31.5">
      <c r="B561" s="354"/>
      <c r="C561" s="354"/>
      <c r="D561" s="292"/>
      <c r="E561" s="127" t="s">
        <v>226</v>
      </c>
      <c r="F561" s="125"/>
      <c r="G561" s="125"/>
      <c r="H561" s="248"/>
      <c r="I561" s="268"/>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221">
        <f t="shared" si="72"/>
        <v>28000</v>
      </c>
    </row>
    <row r="562" spans="2:24" ht="31.5">
      <c r="B562" s="354"/>
      <c r="C562" s="354"/>
      <c r="D562" s="292"/>
      <c r="E562" s="108" t="s">
        <v>227</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2"/>
        <v>28000</v>
      </c>
    </row>
    <row r="563" spans="2:24" ht="47.25">
      <c r="B563" s="354"/>
      <c r="C563" s="354"/>
      <c r="D563" s="292"/>
      <c r="E563" s="123" t="s">
        <v>228</v>
      </c>
      <c r="F563" s="109"/>
      <c r="G563" s="109"/>
      <c r="H563" s="249"/>
      <c r="I563" s="268"/>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221">
        <f t="shared" si="72"/>
        <v>65830</v>
      </c>
    </row>
    <row r="564" spans="2:24" ht="31.5">
      <c r="B564" s="354"/>
      <c r="C564" s="354"/>
      <c r="D564" s="292"/>
      <c r="E564" s="12" t="s">
        <v>697</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2"/>
        <v>65830</v>
      </c>
    </row>
    <row r="565" spans="2:24" ht="31.5">
      <c r="B565" s="354"/>
      <c r="C565" s="354"/>
      <c r="D565" s="292"/>
      <c r="E565" s="123" t="s">
        <v>229</v>
      </c>
      <c r="F565" s="109"/>
      <c r="G565" s="109"/>
      <c r="H565" s="249"/>
      <c r="I565" s="268"/>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221">
        <f t="shared" si="72"/>
        <v>1181200</v>
      </c>
    </row>
    <row r="566" spans="2:24" ht="31.5">
      <c r="B566" s="354"/>
      <c r="C566" s="354"/>
      <c r="D566" s="292"/>
      <c r="E566" s="12" t="s">
        <v>141</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2"/>
        <v>1000000</v>
      </c>
    </row>
    <row r="567" spans="2:24" ht="31.5">
      <c r="B567" s="354"/>
      <c r="C567" s="354"/>
      <c r="D567" s="292"/>
      <c r="E567" s="105" t="s">
        <v>142</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2"/>
        <v>101599</v>
      </c>
    </row>
    <row r="568" spans="2:24" ht="31.5">
      <c r="B568" s="354"/>
      <c r="C568" s="354"/>
      <c r="D568" s="292"/>
      <c r="E568" s="10" t="s">
        <v>143</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2"/>
        <v>79601</v>
      </c>
    </row>
    <row r="569" spans="2:24" ht="15.75">
      <c r="B569" s="304" t="s">
        <v>436</v>
      </c>
      <c r="C569" s="304" t="s">
        <v>47</v>
      </c>
      <c r="D569" s="308" t="s">
        <v>144</v>
      </c>
      <c r="E569" s="29"/>
      <c r="F569" s="14"/>
      <c r="G569" s="18"/>
      <c r="H569" s="240"/>
      <c r="I569" s="268"/>
      <c r="J569" s="220">
        <f>J570</f>
        <v>50000</v>
      </c>
      <c r="K569" s="220">
        <f aca="true" t="shared" si="78" ref="K569:W569">K570</f>
        <v>0</v>
      </c>
      <c r="L569" s="220">
        <f t="shared" si="78"/>
        <v>0</v>
      </c>
      <c r="M569" s="220">
        <f t="shared" si="78"/>
        <v>0</v>
      </c>
      <c r="N569" s="220">
        <f t="shared" si="78"/>
        <v>0</v>
      </c>
      <c r="O569" s="220">
        <f t="shared" si="78"/>
        <v>0</v>
      </c>
      <c r="P569" s="220">
        <f t="shared" si="78"/>
        <v>50000</v>
      </c>
      <c r="Q569" s="220">
        <f t="shared" si="78"/>
        <v>0</v>
      </c>
      <c r="R569" s="220">
        <f t="shared" si="78"/>
        <v>0</v>
      </c>
      <c r="S569" s="220">
        <f t="shared" si="78"/>
        <v>0</v>
      </c>
      <c r="T569" s="220">
        <f t="shared" si="78"/>
        <v>0</v>
      </c>
      <c r="U569" s="220">
        <f t="shared" si="78"/>
        <v>0</v>
      </c>
      <c r="V569" s="220">
        <f t="shared" si="78"/>
        <v>0</v>
      </c>
      <c r="W569" s="220">
        <f t="shared" si="78"/>
        <v>49500</v>
      </c>
      <c r="X569" s="221">
        <f t="shared" si="72"/>
        <v>500</v>
      </c>
    </row>
    <row r="570" spans="2:24" ht="63">
      <c r="B570" s="305"/>
      <c r="C570" s="305"/>
      <c r="D570" s="309"/>
      <c r="E570" s="105" t="s">
        <v>248</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2"/>
        <v>500</v>
      </c>
    </row>
    <row r="571" spans="2:24" ht="15.75">
      <c r="B571" s="297" t="s">
        <v>815</v>
      </c>
      <c r="C571" s="297" t="s">
        <v>48</v>
      </c>
      <c r="D571" s="308" t="s">
        <v>816</v>
      </c>
      <c r="E571" s="29"/>
      <c r="F571" s="76"/>
      <c r="G571" s="99"/>
      <c r="H571" s="235"/>
      <c r="I571" s="266"/>
      <c r="J571" s="220">
        <f>SUM(J572:J573)</f>
        <v>229385.47</v>
      </c>
      <c r="K571" s="220">
        <f aca="true" t="shared" si="79" ref="K571:W571">SUM(K572:K573)</f>
        <v>0</v>
      </c>
      <c r="L571" s="220">
        <f t="shared" si="79"/>
        <v>208369.1</v>
      </c>
      <c r="M571" s="220">
        <f t="shared" si="79"/>
        <v>21016.37</v>
      </c>
      <c r="N571" s="220">
        <f t="shared" si="79"/>
        <v>0</v>
      </c>
      <c r="O571" s="220">
        <f t="shared" si="79"/>
        <v>0</v>
      </c>
      <c r="P571" s="220">
        <f t="shared" si="79"/>
        <v>0</v>
      </c>
      <c r="Q571" s="220">
        <f t="shared" si="79"/>
        <v>0</v>
      </c>
      <c r="R571" s="220">
        <f t="shared" si="79"/>
        <v>0</v>
      </c>
      <c r="S571" s="220">
        <f t="shared" si="79"/>
        <v>0</v>
      </c>
      <c r="T571" s="220">
        <f t="shared" si="79"/>
        <v>0</v>
      </c>
      <c r="U571" s="220">
        <f t="shared" si="79"/>
        <v>0</v>
      </c>
      <c r="V571" s="220">
        <f t="shared" si="79"/>
        <v>0</v>
      </c>
      <c r="W571" s="220">
        <f t="shared" si="79"/>
        <v>208369.1</v>
      </c>
      <c r="X571" s="221">
        <f t="shared" si="72"/>
        <v>21016.369999999995</v>
      </c>
    </row>
    <row r="572" spans="2:24" ht="78.75">
      <c r="B572" s="298"/>
      <c r="C572" s="298"/>
      <c r="D572" s="309"/>
      <c r="E572" s="10" t="s">
        <v>352</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2"/>
        <v>0</v>
      </c>
    </row>
    <row r="573" spans="2:24" ht="78.75">
      <c r="B573" s="300"/>
      <c r="C573" s="300"/>
      <c r="D573" s="311"/>
      <c r="E573" s="10" t="s">
        <v>750</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2"/>
        <v>21016.37</v>
      </c>
    </row>
    <row r="574" spans="2:24" ht="15.75">
      <c r="B574" s="355" t="s">
        <v>817</v>
      </c>
      <c r="C574" s="355" t="s">
        <v>818</v>
      </c>
      <c r="D574" s="356" t="s">
        <v>819</v>
      </c>
      <c r="E574" s="29"/>
      <c r="F574" s="76"/>
      <c r="G574" s="99"/>
      <c r="H574" s="235"/>
      <c r="I574" s="266"/>
      <c r="J574" s="220">
        <f>SUM(J575:J576)</f>
        <v>767368.1</v>
      </c>
      <c r="K574" s="220">
        <f aca="true" t="shared" si="80" ref="K574:W574">SUM(K575:K576)</f>
        <v>0</v>
      </c>
      <c r="L574" s="220">
        <f t="shared" si="80"/>
        <v>292509.47</v>
      </c>
      <c r="M574" s="220">
        <f t="shared" si="80"/>
        <v>28983.63</v>
      </c>
      <c r="N574" s="220">
        <f t="shared" si="80"/>
        <v>0</v>
      </c>
      <c r="O574" s="220">
        <f t="shared" si="80"/>
        <v>203653.24</v>
      </c>
      <c r="P574" s="220">
        <f t="shared" si="80"/>
        <v>0</v>
      </c>
      <c r="Q574" s="220">
        <f t="shared" si="80"/>
        <v>0</v>
      </c>
      <c r="R574" s="220">
        <f t="shared" si="80"/>
        <v>242221.76</v>
      </c>
      <c r="S574" s="220">
        <f t="shared" si="80"/>
        <v>0</v>
      </c>
      <c r="T574" s="220">
        <f t="shared" si="80"/>
        <v>0</v>
      </c>
      <c r="U574" s="220">
        <f t="shared" si="80"/>
        <v>0</v>
      </c>
      <c r="V574" s="220">
        <f t="shared" si="80"/>
        <v>0</v>
      </c>
      <c r="W574" s="220">
        <f t="shared" si="80"/>
        <v>292509.47</v>
      </c>
      <c r="X574" s="221">
        <f t="shared" si="72"/>
        <v>474858.63</v>
      </c>
    </row>
    <row r="575" spans="2:24" ht="63">
      <c r="B575" s="355"/>
      <c r="C575" s="355"/>
      <c r="D575" s="356"/>
      <c r="E575" s="29" t="s">
        <v>353</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2"/>
        <v>0</v>
      </c>
    </row>
    <row r="576" spans="2:24" ht="31.5" customHeight="1">
      <c r="B576" s="355"/>
      <c r="C576" s="355"/>
      <c r="D576" s="356"/>
      <c r="E576" s="12" t="s">
        <v>751</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2"/>
        <v>474858.63</v>
      </c>
    </row>
    <row r="577" spans="2:24" ht="15.75" customHeight="1">
      <c r="B577" s="355" t="s">
        <v>174</v>
      </c>
      <c r="C577" s="355" t="s">
        <v>50</v>
      </c>
      <c r="D577" s="356" t="s">
        <v>49</v>
      </c>
      <c r="E577" s="29"/>
      <c r="F577" s="76"/>
      <c r="G577" s="99"/>
      <c r="H577" s="235"/>
      <c r="I577" s="266"/>
      <c r="J577" s="220">
        <f>SUM(J578:J581)</f>
        <v>1380110.27</v>
      </c>
      <c r="K577" s="220">
        <f aca="true" t="shared" si="81" ref="K577:W577">SUM(K578:K581)</f>
        <v>0</v>
      </c>
      <c r="L577" s="220">
        <f t="shared" si="81"/>
        <v>175321.43</v>
      </c>
      <c r="M577" s="220">
        <f t="shared" si="81"/>
        <v>0</v>
      </c>
      <c r="N577" s="220">
        <f t="shared" si="81"/>
        <v>0</v>
      </c>
      <c r="O577" s="220">
        <f t="shared" si="81"/>
        <v>70146.76</v>
      </c>
      <c r="P577" s="220">
        <f t="shared" si="81"/>
        <v>274531.81</v>
      </c>
      <c r="Q577" s="220">
        <f t="shared" si="81"/>
        <v>100000</v>
      </c>
      <c r="R577" s="220">
        <f t="shared" si="81"/>
        <v>760110.27</v>
      </c>
      <c r="S577" s="220">
        <f t="shared" si="81"/>
        <v>0</v>
      </c>
      <c r="T577" s="220">
        <f t="shared" si="81"/>
        <v>0</v>
      </c>
      <c r="U577" s="220">
        <f t="shared" si="81"/>
        <v>0</v>
      </c>
      <c r="V577" s="220">
        <f t="shared" si="81"/>
        <v>0</v>
      </c>
      <c r="W577" s="220">
        <f t="shared" si="81"/>
        <v>205133.39999999997</v>
      </c>
      <c r="X577" s="221">
        <f t="shared" si="72"/>
        <v>1174976.87</v>
      </c>
    </row>
    <row r="578" spans="2:24" ht="47.25" customHeight="1">
      <c r="B578" s="355"/>
      <c r="C578" s="355"/>
      <c r="D578" s="356"/>
      <c r="E578" s="31" t="s">
        <v>354</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2"/>
        <v>225141.37</v>
      </c>
    </row>
    <row r="579" spans="2:24" ht="47.25" customHeight="1">
      <c r="B579" s="355"/>
      <c r="C579" s="355"/>
      <c r="D579" s="356"/>
      <c r="E579" s="31" t="s">
        <v>390</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2"/>
        <v>294968.9</v>
      </c>
    </row>
    <row r="580" spans="2:24" ht="47.25" customHeight="1">
      <c r="B580" s="355"/>
      <c r="C580" s="355"/>
      <c r="D580" s="356"/>
      <c r="E580" s="31" t="s">
        <v>391</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2"/>
        <v>390000</v>
      </c>
    </row>
    <row r="581" spans="2:24" ht="31.5">
      <c r="B581" s="355"/>
      <c r="C581" s="355"/>
      <c r="D581" s="356"/>
      <c r="E581" s="31" t="s">
        <v>392</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149708.52+15475.8+40249.08-300</f>
        <v>205133.39999999997</v>
      </c>
      <c r="X581" s="221">
        <f t="shared" si="72"/>
        <v>264866.60000000003</v>
      </c>
    </row>
    <row r="582" spans="2:24" ht="15.75">
      <c r="B582" s="204"/>
      <c r="C582" s="205"/>
      <c r="D582" s="348" t="s">
        <v>216</v>
      </c>
      <c r="E582" s="349"/>
      <c r="F582" s="100"/>
      <c r="G582" s="101"/>
      <c r="H582" s="234"/>
      <c r="I582" s="265"/>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10842842.309999997</v>
      </c>
      <c r="X582" s="221">
        <f t="shared" si="72"/>
        <v>18833018.240000002</v>
      </c>
    </row>
    <row r="583" spans="2:24" ht="15.75" customHeight="1">
      <c r="B583" s="294" t="s">
        <v>827</v>
      </c>
      <c r="C583" s="293" t="s">
        <v>825</v>
      </c>
      <c r="D583" s="292" t="s">
        <v>109</v>
      </c>
      <c r="E583" s="278"/>
      <c r="F583" s="76"/>
      <c r="G583" s="99"/>
      <c r="H583" s="235"/>
      <c r="I583" s="266"/>
      <c r="J583" s="222">
        <f>J584+J585</f>
        <v>195000</v>
      </c>
      <c r="K583" s="222">
        <f aca="true" t="shared" si="83" ref="K583:W583">K584+K585</f>
        <v>0</v>
      </c>
      <c r="L583" s="222">
        <f t="shared" si="83"/>
        <v>0</v>
      </c>
      <c r="M583" s="222">
        <f t="shared" si="83"/>
        <v>0</v>
      </c>
      <c r="N583" s="222">
        <f t="shared" si="83"/>
        <v>0</v>
      </c>
      <c r="O583" s="222">
        <f t="shared" si="83"/>
        <v>0</v>
      </c>
      <c r="P583" s="222">
        <f t="shared" si="83"/>
        <v>0</v>
      </c>
      <c r="Q583" s="222">
        <f t="shared" si="83"/>
        <v>0</v>
      </c>
      <c r="R583" s="222">
        <f t="shared" si="83"/>
        <v>195000</v>
      </c>
      <c r="S583" s="222">
        <f t="shared" si="83"/>
        <v>0</v>
      </c>
      <c r="T583" s="222">
        <f t="shared" si="83"/>
        <v>0</v>
      </c>
      <c r="U583" s="222">
        <f t="shared" si="83"/>
        <v>0</v>
      </c>
      <c r="V583" s="222">
        <f t="shared" si="83"/>
        <v>0</v>
      </c>
      <c r="W583" s="222">
        <f t="shared" si="83"/>
        <v>0</v>
      </c>
      <c r="X583" s="221">
        <f t="shared" si="72"/>
        <v>195000</v>
      </c>
    </row>
    <row r="584" spans="2:24" ht="15.75">
      <c r="B584" s="295"/>
      <c r="C584" s="293"/>
      <c r="D584" s="292"/>
      <c r="E584" s="12" t="s">
        <v>801</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2"/>
        <v>100000</v>
      </c>
    </row>
    <row r="585" spans="2:24" ht="47.25">
      <c r="B585" s="296"/>
      <c r="C585" s="293"/>
      <c r="D585" s="292"/>
      <c r="E585" s="12" t="s">
        <v>802</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2"/>
        <v>95000</v>
      </c>
    </row>
    <row r="586" spans="2:24" ht="15.75">
      <c r="B586" s="297" t="s">
        <v>766</v>
      </c>
      <c r="C586" s="297" t="s">
        <v>111</v>
      </c>
      <c r="D586" s="308" t="s">
        <v>438</v>
      </c>
      <c r="E586" s="94"/>
      <c r="F586" s="76"/>
      <c r="G586" s="99"/>
      <c r="H586" s="235"/>
      <c r="I586" s="266"/>
      <c r="J586" s="222">
        <f>SUM(J587:J591)</f>
        <v>739797.73</v>
      </c>
      <c r="K586" s="222">
        <f aca="true" t="shared" si="84" ref="K586:W586">SUM(K587:K591)</f>
        <v>0</v>
      </c>
      <c r="L586" s="222">
        <f t="shared" si="84"/>
        <v>376797.73</v>
      </c>
      <c r="M586" s="222">
        <f t="shared" si="84"/>
        <v>0</v>
      </c>
      <c r="N586" s="222">
        <f t="shared" si="84"/>
        <v>0</v>
      </c>
      <c r="O586" s="222">
        <f t="shared" si="84"/>
        <v>0</v>
      </c>
      <c r="P586" s="222">
        <f t="shared" si="84"/>
        <v>363000</v>
      </c>
      <c r="Q586" s="222">
        <f t="shared" si="84"/>
        <v>0</v>
      </c>
      <c r="R586" s="222">
        <f t="shared" si="84"/>
        <v>0</v>
      </c>
      <c r="S586" s="222">
        <f t="shared" si="84"/>
        <v>0</v>
      </c>
      <c r="T586" s="222">
        <f t="shared" si="84"/>
        <v>0</v>
      </c>
      <c r="U586" s="222">
        <f t="shared" si="84"/>
        <v>0</v>
      </c>
      <c r="V586" s="222">
        <f t="shared" si="84"/>
        <v>0</v>
      </c>
      <c r="W586" s="222">
        <f t="shared" si="84"/>
        <v>376797.73</v>
      </c>
      <c r="X586" s="221">
        <f t="shared" si="72"/>
        <v>363000</v>
      </c>
    </row>
    <row r="587" spans="2:24" ht="94.5">
      <c r="B587" s="298"/>
      <c r="C587" s="298"/>
      <c r="D587" s="309"/>
      <c r="E587" s="12" t="s">
        <v>355</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2"/>
        <v>0</v>
      </c>
    </row>
    <row r="588" spans="2:24" ht="47.25">
      <c r="B588" s="298"/>
      <c r="C588" s="298"/>
      <c r="D588" s="309"/>
      <c r="E588" s="12" t="s">
        <v>356</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2"/>
        <v>0</v>
      </c>
    </row>
    <row r="589" spans="2:24" ht="78.75">
      <c r="B589" s="298"/>
      <c r="C589" s="298"/>
      <c r="D589" s="309"/>
      <c r="E589" s="12" t="s">
        <v>752</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2"/>
        <v>97000</v>
      </c>
    </row>
    <row r="590" spans="2:24" ht="31.5">
      <c r="B590" s="298"/>
      <c r="C590" s="298"/>
      <c r="D590" s="309"/>
      <c r="E590" s="12" t="s">
        <v>753</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2"/>
        <v>21000</v>
      </c>
    </row>
    <row r="591" spans="2:24" ht="31.5">
      <c r="B591" s="298"/>
      <c r="C591" s="298"/>
      <c r="D591" s="309"/>
      <c r="E591" s="130" t="s">
        <v>754</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2"/>
        <v>245000</v>
      </c>
    </row>
    <row r="592" spans="2:24" ht="15.75">
      <c r="B592" s="297" t="s">
        <v>767</v>
      </c>
      <c r="C592" s="297" t="s">
        <v>780</v>
      </c>
      <c r="D592" s="308" t="s">
        <v>779</v>
      </c>
      <c r="E592" s="94"/>
      <c r="F592" s="76"/>
      <c r="G592" s="99"/>
      <c r="H592" s="235"/>
      <c r="I592" s="266"/>
      <c r="J592" s="222">
        <f>SUM(J593:J603)</f>
        <v>1277593.17</v>
      </c>
      <c r="K592" s="222">
        <f aca="true" t="shared" si="85" ref="K592:W592">SUM(K593:K603)</f>
        <v>0</v>
      </c>
      <c r="L592" s="222">
        <f t="shared" si="85"/>
        <v>972193.17</v>
      </c>
      <c r="M592" s="222">
        <f t="shared" si="85"/>
        <v>0</v>
      </c>
      <c r="N592" s="222">
        <f t="shared" si="85"/>
        <v>0</v>
      </c>
      <c r="O592" s="222">
        <f t="shared" si="85"/>
        <v>45400</v>
      </c>
      <c r="P592" s="222">
        <f t="shared" si="85"/>
        <v>120000</v>
      </c>
      <c r="Q592" s="222">
        <f t="shared" si="85"/>
        <v>140000</v>
      </c>
      <c r="R592" s="222">
        <f t="shared" si="85"/>
        <v>0</v>
      </c>
      <c r="S592" s="222">
        <f t="shared" si="85"/>
        <v>0</v>
      </c>
      <c r="T592" s="222">
        <f t="shared" si="85"/>
        <v>0</v>
      </c>
      <c r="U592" s="222">
        <f t="shared" si="85"/>
        <v>0</v>
      </c>
      <c r="V592" s="222">
        <f t="shared" si="85"/>
        <v>0</v>
      </c>
      <c r="W592" s="222">
        <f t="shared" si="85"/>
        <v>839002.14</v>
      </c>
      <c r="X592" s="221">
        <f t="shared" si="72"/>
        <v>438591.0299999999</v>
      </c>
    </row>
    <row r="593" spans="2:24" ht="63">
      <c r="B593" s="298"/>
      <c r="C593" s="298"/>
      <c r="D593" s="309"/>
      <c r="E593" s="12" t="s">
        <v>785</v>
      </c>
      <c r="F593" s="76">
        <v>1058633</v>
      </c>
      <c r="G593" s="18">
        <f aca="true" t="shared" si="86"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2"/>
        <v>0</v>
      </c>
    </row>
    <row r="594" spans="2:24" ht="63">
      <c r="B594" s="298"/>
      <c r="C594" s="298"/>
      <c r="D594" s="309"/>
      <c r="E594" s="12" t="s">
        <v>539</v>
      </c>
      <c r="F594" s="76">
        <v>207154</v>
      </c>
      <c r="G594" s="18">
        <f t="shared" si="86"/>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2"/>
        <v>0</v>
      </c>
    </row>
    <row r="595" spans="2:24" ht="63">
      <c r="B595" s="298"/>
      <c r="C595" s="298"/>
      <c r="D595" s="309"/>
      <c r="E595" s="12" t="s">
        <v>540</v>
      </c>
      <c r="F595" s="76">
        <v>336363</v>
      </c>
      <c r="G595" s="18">
        <f t="shared" si="86"/>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2"/>
        <v>0</v>
      </c>
    </row>
    <row r="596" spans="2:24" ht="63">
      <c r="B596" s="298"/>
      <c r="C596" s="298"/>
      <c r="D596" s="309"/>
      <c r="E596" s="12" t="s">
        <v>377</v>
      </c>
      <c r="F596" s="76">
        <v>409098</v>
      </c>
      <c r="G596" s="18">
        <f t="shared" si="86"/>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2"/>
        <v>0</v>
      </c>
    </row>
    <row r="597" spans="2:24" ht="63">
      <c r="B597" s="298"/>
      <c r="C597" s="298"/>
      <c r="D597" s="309"/>
      <c r="E597" s="12" t="s">
        <v>378</v>
      </c>
      <c r="F597" s="76">
        <v>499168</v>
      </c>
      <c r="G597" s="18">
        <f t="shared" si="86"/>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2"/>
        <v>0</v>
      </c>
    </row>
    <row r="598" spans="2:24" ht="78.75">
      <c r="B598" s="298"/>
      <c r="C598" s="298"/>
      <c r="D598" s="309"/>
      <c r="E598" s="12" t="s">
        <v>786</v>
      </c>
      <c r="F598" s="76">
        <v>248770</v>
      </c>
      <c r="G598" s="18">
        <f t="shared" si="86"/>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2"/>
        <v>0</v>
      </c>
    </row>
    <row r="599" spans="2:24" ht="63">
      <c r="B599" s="298"/>
      <c r="C599" s="298"/>
      <c r="D599" s="309"/>
      <c r="E599" s="12" t="s">
        <v>538</v>
      </c>
      <c r="F599" s="76">
        <v>1058633</v>
      </c>
      <c r="G599" s="18">
        <f t="shared" si="86"/>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2"/>
        <v>182390.78</v>
      </c>
    </row>
    <row r="600" spans="2:24" ht="63">
      <c r="B600" s="298"/>
      <c r="C600" s="298"/>
      <c r="D600" s="309"/>
      <c r="E600" s="10" t="s">
        <v>379</v>
      </c>
      <c r="F600" s="76">
        <v>105000</v>
      </c>
      <c r="G600" s="18">
        <f t="shared" si="86"/>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2"/>
        <v>0</v>
      </c>
    </row>
    <row r="601" spans="2:24" ht="47.25">
      <c r="B601" s="298"/>
      <c r="C601" s="298"/>
      <c r="D601" s="309"/>
      <c r="E601" s="130" t="s">
        <v>755</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2"/>
        <v>400</v>
      </c>
    </row>
    <row r="602" spans="2:24" ht="63">
      <c r="B602" s="298"/>
      <c r="C602" s="298"/>
      <c r="D602" s="309"/>
      <c r="E602" s="130" t="s">
        <v>756</v>
      </c>
      <c r="F602" s="66">
        <v>105000</v>
      </c>
      <c r="G602" s="18">
        <f aca="true" t="shared" si="87"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2"/>
        <v>55800.25</v>
      </c>
    </row>
    <row r="603" spans="2:24" ht="47.25">
      <c r="B603" s="300"/>
      <c r="C603" s="300"/>
      <c r="D603" s="311"/>
      <c r="E603" s="130" t="s">
        <v>757</v>
      </c>
      <c r="F603" s="66">
        <v>200000</v>
      </c>
      <c r="G603" s="18">
        <f t="shared" si="87"/>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2"/>
        <v>200000</v>
      </c>
    </row>
    <row r="604" spans="2:24" ht="15.75">
      <c r="B604" s="297" t="s">
        <v>783</v>
      </c>
      <c r="C604" s="297" t="s">
        <v>202</v>
      </c>
      <c r="D604" s="308" t="s">
        <v>349</v>
      </c>
      <c r="E604" s="94"/>
      <c r="F604" s="76"/>
      <c r="G604" s="99"/>
      <c r="H604" s="235"/>
      <c r="I604" s="266"/>
      <c r="J604" s="222">
        <f>J605</f>
        <v>1502.62</v>
      </c>
      <c r="K604" s="222">
        <f aca="true" t="shared" si="88" ref="K604:W604">K605</f>
        <v>0</v>
      </c>
      <c r="L604" s="222">
        <f t="shared" si="88"/>
        <v>1502.62</v>
      </c>
      <c r="M604" s="222">
        <f t="shared" si="88"/>
        <v>0</v>
      </c>
      <c r="N604" s="222">
        <f t="shared" si="88"/>
        <v>0</v>
      </c>
      <c r="O604" s="222">
        <f t="shared" si="88"/>
        <v>0</v>
      </c>
      <c r="P604" s="222">
        <f t="shared" si="88"/>
        <v>0</v>
      </c>
      <c r="Q604" s="222">
        <f t="shared" si="88"/>
        <v>0</v>
      </c>
      <c r="R604" s="222">
        <f t="shared" si="88"/>
        <v>0</v>
      </c>
      <c r="S604" s="222">
        <f t="shared" si="88"/>
        <v>0</v>
      </c>
      <c r="T604" s="222">
        <f t="shared" si="88"/>
        <v>0</v>
      </c>
      <c r="U604" s="222">
        <f t="shared" si="88"/>
        <v>0</v>
      </c>
      <c r="V604" s="222">
        <f t="shared" si="88"/>
        <v>0</v>
      </c>
      <c r="W604" s="222">
        <f t="shared" si="88"/>
        <v>1502.62</v>
      </c>
      <c r="X604" s="221">
        <f aca="true" t="shared" si="89" ref="X604:X667">K604+L604+M604+N604+O604+P604+Q604+R604-W604</f>
        <v>0</v>
      </c>
    </row>
    <row r="605" spans="2:24" ht="110.25">
      <c r="B605" s="300"/>
      <c r="C605" s="300"/>
      <c r="D605" s="311"/>
      <c r="E605" s="10" t="s">
        <v>380</v>
      </c>
      <c r="F605" s="76">
        <v>91696</v>
      </c>
      <c r="G605" s="18">
        <f t="shared" si="87"/>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9"/>
        <v>0</v>
      </c>
    </row>
    <row r="606" spans="2:24" ht="15.75">
      <c r="B606" s="304" t="s">
        <v>575</v>
      </c>
      <c r="C606" s="304" t="s">
        <v>373</v>
      </c>
      <c r="D606" s="308" t="s">
        <v>291</v>
      </c>
      <c r="E606" s="131"/>
      <c r="F606" s="102"/>
      <c r="G606" s="132"/>
      <c r="H606" s="252"/>
      <c r="I606" s="266"/>
      <c r="J606" s="222">
        <f>J607</f>
        <v>100000</v>
      </c>
      <c r="K606" s="222">
        <f aca="true" t="shared" si="90" ref="K606:W606">K607</f>
        <v>0</v>
      </c>
      <c r="L606" s="222">
        <f t="shared" si="90"/>
        <v>0</v>
      </c>
      <c r="M606" s="222">
        <f t="shared" si="90"/>
        <v>0</v>
      </c>
      <c r="N606" s="222">
        <f t="shared" si="90"/>
        <v>0</v>
      </c>
      <c r="O606" s="222">
        <f t="shared" si="90"/>
        <v>0</v>
      </c>
      <c r="P606" s="222">
        <f t="shared" si="90"/>
        <v>50000</v>
      </c>
      <c r="Q606" s="222">
        <f t="shared" si="90"/>
        <v>0</v>
      </c>
      <c r="R606" s="222">
        <f t="shared" si="90"/>
        <v>0</v>
      </c>
      <c r="S606" s="222">
        <f t="shared" si="90"/>
        <v>50000</v>
      </c>
      <c r="T606" s="222">
        <f t="shared" si="90"/>
        <v>0</v>
      </c>
      <c r="U606" s="222">
        <f t="shared" si="90"/>
        <v>0</v>
      </c>
      <c r="V606" s="222">
        <f t="shared" si="90"/>
        <v>0</v>
      </c>
      <c r="W606" s="222">
        <f t="shared" si="90"/>
        <v>0</v>
      </c>
      <c r="X606" s="221">
        <f t="shared" si="89"/>
        <v>50000</v>
      </c>
    </row>
    <row r="607" spans="2:24" ht="63">
      <c r="B607" s="306"/>
      <c r="C607" s="306"/>
      <c r="D607" s="309"/>
      <c r="E607" s="130" t="s">
        <v>758</v>
      </c>
      <c r="F607" s="66">
        <v>45000</v>
      </c>
      <c r="G607" s="18">
        <f t="shared" si="87"/>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9"/>
        <v>50000</v>
      </c>
    </row>
    <row r="608" spans="2:24" ht="15.75">
      <c r="B608" s="297" t="s">
        <v>372</v>
      </c>
      <c r="C608" s="297" t="s">
        <v>375</v>
      </c>
      <c r="D608" s="308" t="s">
        <v>44</v>
      </c>
      <c r="E608" s="94"/>
      <c r="F608" s="76"/>
      <c r="G608" s="99"/>
      <c r="H608" s="235"/>
      <c r="I608" s="266"/>
      <c r="J608" s="222">
        <f>SUM(J609:J612)</f>
        <v>16862</v>
      </c>
      <c r="K608" s="222">
        <f aca="true" t="shared" si="91" ref="K608:W608">SUM(K609:K612)</f>
        <v>0</v>
      </c>
      <c r="L608" s="222">
        <f t="shared" si="91"/>
        <v>5862</v>
      </c>
      <c r="M608" s="222">
        <f t="shared" si="91"/>
        <v>0</v>
      </c>
      <c r="N608" s="222">
        <f t="shared" si="91"/>
        <v>0</v>
      </c>
      <c r="O608" s="222">
        <f t="shared" si="91"/>
        <v>30000</v>
      </c>
      <c r="P608" s="222">
        <f t="shared" si="91"/>
        <v>-19000</v>
      </c>
      <c r="Q608" s="222">
        <f t="shared" si="91"/>
        <v>0</v>
      </c>
      <c r="R608" s="222">
        <f t="shared" si="91"/>
        <v>0</v>
      </c>
      <c r="S608" s="222">
        <f t="shared" si="91"/>
        <v>0</v>
      </c>
      <c r="T608" s="222">
        <f t="shared" si="91"/>
        <v>0</v>
      </c>
      <c r="U608" s="222">
        <f t="shared" si="91"/>
        <v>0</v>
      </c>
      <c r="V608" s="222">
        <f t="shared" si="91"/>
        <v>0</v>
      </c>
      <c r="W608" s="222">
        <f t="shared" si="91"/>
        <v>15720.16</v>
      </c>
      <c r="X608" s="221">
        <f t="shared" si="89"/>
        <v>1141.8400000000001</v>
      </c>
    </row>
    <row r="609" spans="2:24" ht="78.75">
      <c r="B609" s="298"/>
      <c r="C609" s="298"/>
      <c r="D609" s="309"/>
      <c r="E609" s="12" t="s">
        <v>546</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9"/>
        <v>0</v>
      </c>
    </row>
    <row r="610" spans="2:24" ht="78.75">
      <c r="B610" s="298"/>
      <c r="C610" s="298"/>
      <c r="D610" s="309"/>
      <c r="E610" s="10" t="s">
        <v>399</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9"/>
        <v>0</v>
      </c>
    </row>
    <row r="611" spans="2:24" ht="63">
      <c r="B611" s="298"/>
      <c r="C611" s="298"/>
      <c r="D611" s="309"/>
      <c r="E611" s="10" t="s">
        <v>759</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9"/>
        <v>720.3099999999995</v>
      </c>
    </row>
    <row r="612" spans="2:24" ht="63">
      <c r="B612" s="300"/>
      <c r="C612" s="300"/>
      <c r="D612" s="311"/>
      <c r="E612" s="130" t="s">
        <v>271</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9"/>
        <v>421.53</v>
      </c>
    </row>
    <row r="613" spans="2:24" ht="15.75">
      <c r="B613" s="297" t="s">
        <v>665</v>
      </c>
      <c r="C613" s="297" t="s">
        <v>667</v>
      </c>
      <c r="D613" s="308" t="s">
        <v>669</v>
      </c>
      <c r="E613" s="94"/>
      <c r="F613" s="76"/>
      <c r="G613" s="99"/>
      <c r="H613" s="235"/>
      <c r="I613" s="266"/>
      <c r="J613" s="222">
        <f>SUM(J614:J616)</f>
        <v>110825.45</v>
      </c>
      <c r="K613" s="222">
        <f aca="true" t="shared" si="92" ref="K613:W613">SUM(K614:K616)</f>
        <v>0</v>
      </c>
      <c r="L613" s="222">
        <f t="shared" si="92"/>
        <v>108825.45</v>
      </c>
      <c r="M613" s="222">
        <f t="shared" si="92"/>
        <v>0</v>
      </c>
      <c r="N613" s="222">
        <f t="shared" si="92"/>
        <v>0</v>
      </c>
      <c r="O613" s="222">
        <f t="shared" si="92"/>
        <v>15000</v>
      </c>
      <c r="P613" s="222">
        <f t="shared" si="92"/>
        <v>-13000</v>
      </c>
      <c r="Q613" s="222">
        <f t="shared" si="92"/>
        <v>0</v>
      </c>
      <c r="R613" s="222">
        <f t="shared" si="92"/>
        <v>0</v>
      </c>
      <c r="S613" s="222">
        <f t="shared" si="92"/>
        <v>0</v>
      </c>
      <c r="T613" s="222">
        <f t="shared" si="92"/>
        <v>0</v>
      </c>
      <c r="U613" s="222">
        <f t="shared" si="92"/>
        <v>0</v>
      </c>
      <c r="V613" s="222">
        <f t="shared" si="92"/>
        <v>0</v>
      </c>
      <c r="W613" s="222">
        <f t="shared" si="92"/>
        <v>110289.83</v>
      </c>
      <c r="X613" s="221">
        <f t="shared" si="89"/>
        <v>535.6199999999953</v>
      </c>
    </row>
    <row r="614" spans="2:24" ht="78.75">
      <c r="B614" s="298"/>
      <c r="C614" s="298"/>
      <c r="D614" s="309"/>
      <c r="E614" s="12" t="s">
        <v>787</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9"/>
        <v>0</v>
      </c>
    </row>
    <row r="615" spans="2:24" ht="78.75">
      <c r="B615" s="298"/>
      <c r="C615" s="298"/>
      <c r="D615" s="309"/>
      <c r="E615" s="12" t="s">
        <v>400</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9"/>
        <v>0</v>
      </c>
    </row>
    <row r="616" spans="2:24" ht="63">
      <c r="B616" s="300"/>
      <c r="C616" s="300"/>
      <c r="D616" s="311"/>
      <c r="E616" s="130" t="s">
        <v>685</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9"/>
        <v>535.6199999999999</v>
      </c>
    </row>
    <row r="617" spans="2:24" ht="15.75">
      <c r="B617" s="297" t="s">
        <v>831</v>
      </c>
      <c r="C617" s="297" t="s">
        <v>832</v>
      </c>
      <c r="D617" s="308" t="s">
        <v>671</v>
      </c>
      <c r="E617" s="94"/>
      <c r="F617" s="76"/>
      <c r="G617" s="99"/>
      <c r="H617" s="235"/>
      <c r="I617" s="266"/>
      <c r="J617" s="222">
        <f>SUM(J618:J668)</f>
        <v>9679523.84</v>
      </c>
      <c r="K617" s="222">
        <f aca="true" t="shared" si="93" ref="K617:W617">SUM(K618:K668)</f>
        <v>0</v>
      </c>
      <c r="L617" s="222">
        <f t="shared" si="93"/>
        <v>2384258.84</v>
      </c>
      <c r="M617" s="222">
        <f t="shared" si="93"/>
        <v>0</v>
      </c>
      <c r="N617" s="222">
        <f t="shared" si="93"/>
        <v>0</v>
      </c>
      <c r="O617" s="222">
        <f t="shared" si="93"/>
        <v>1267765</v>
      </c>
      <c r="P617" s="222">
        <f t="shared" si="93"/>
        <v>2326500</v>
      </c>
      <c r="Q617" s="222">
        <f t="shared" si="93"/>
        <v>1554000</v>
      </c>
      <c r="R617" s="222">
        <f t="shared" si="93"/>
        <v>1280000</v>
      </c>
      <c r="S617" s="222">
        <f t="shared" si="93"/>
        <v>367000</v>
      </c>
      <c r="T617" s="222">
        <f t="shared" si="93"/>
        <v>100000</v>
      </c>
      <c r="U617" s="222">
        <f t="shared" si="93"/>
        <v>400000</v>
      </c>
      <c r="V617" s="222">
        <f t="shared" si="93"/>
        <v>0</v>
      </c>
      <c r="W617" s="222">
        <f t="shared" si="93"/>
        <v>5252818.199999998</v>
      </c>
      <c r="X617" s="221">
        <f t="shared" si="89"/>
        <v>3559705.6400000015</v>
      </c>
    </row>
    <row r="618" spans="2:24" ht="78.75">
      <c r="B618" s="298"/>
      <c r="C618" s="298"/>
      <c r="D618" s="309"/>
      <c r="E618" s="19" t="s">
        <v>788</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9"/>
        <v>0</v>
      </c>
    </row>
    <row r="619" spans="2:24" ht="47.25">
      <c r="B619" s="298"/>
      <c r="C619" s="298"/>
      <c r="D619" s="309"/>
      <c r="E619" s="28" t="s">
        <v>253</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9"/>
        <v>0</v>
      </c>
    </row>
    <row r="620" spans="2:24" ht="63">
      <c r="B620" s="298"/>
      <c r="C620" s="298"/>
      <c r="D620" s="309"/>
      <c r="E620" s="10" t="s">
        <v>381</v>
      </c>
      <c r="F620" s="32">
        <v>307171</v>
      </c>
      <c r="G620" s="18">
        <f aca="true" t="shared" si="94"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9"/>
        <v>0</v>
      </c>
    </row>
    <row r="621" spans="2:24" ht="63">
      <c r="B621" s="298"/>
      <c r="C621" s="298"/>
      <c r="D621" s="309"/>
      <c r="E621" s="12" t="s">
        <v>382</v>
      </c>
      <c r="F621" s="32">
        <v>8189053</v>
      </c>
      <c r="G621" s="18">
        <f t="shared" si="94"/>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9"/>
        <v>0</v>
      </c>
    </row>
    <row r="622" spans="2:24" ht="110.25">
      <c r="B622" s="298"/>
      <c r="C622" s="298"/>
      <c r="D622" s="309"/>
      <c r="E622" s="33" t="s">
        <v>362</v>
      </c>
      <c r="F622" s="32">
        <v>661469</v>
      </c>
      <c r="G622" s="18">
        <f t="shared" si="94"/>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9"/>
        <v>0</v>
      </c>
    </row>
    <row r="623" spans="2:24" ht="63">
      <c r="B623" s="298"/>
      <c r="C623" s="298"/>
      <c r="D623" s="309"/>
      <c r="E623" s="10" t="s">
        <v>515</v>
      </c>
      <c r="F623" s="32">
        <v>317569</v>
      </c>
      <c r="G623" s="18">
        <f t="shared" si="94"/>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9"/>
        <v>0</v>
      </c>
    </row>
    <row r="624" spans="2:24" ht="63">
      <c r="B624" s="298"/>
      <c r="C624" s="298"/>
      <c r="D624" s="309"/>
      <c r="E624" s="12" t="s">
        <v>516</v>
      </c>
      <c r="F624" s="32">
        <v>387913</v>
      </c>
      <c r="G624" s="18">
        <f t="shared" si="94"/>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9"/>
        <v>0</v>
      </c>
    </row>
    <row r="625" spans="2:24" ht="78.75">
      <c r="B625" s="298"/>
      <c r="C625" s="298"/>
      <c r="D625" s="309"/>
      <c r="E625" s="10" t="s">
        <v>1</v>
      </c>
      <c r="F625" s="32">
        <v>232210</v>
      </c>
      <c r="G625" s="18">
        <f t="shared" si="94"/>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9"/>
        <v>0</v>
      </c>
    </row>
    <row r="626" spans="2:24" ht="78.75">
      <c r="B626" s="298"/>
      <c r="C626" s="298"/>
      <c r="D626" s="309"/>
      <c r="E626" s="12" t="s">
        <v>401</v>
      </c>
      <c r="F626" s="32">
        <v>652288</v>
      </c>
      <c r="G626" s="18">
        <f t="shared" si="94"/>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9"/>
        <v>0</v>
      </c>
    </row>
    <row r="627" spans="2:24" ht="78.75">
      <c r="B627" s="298"/>
      <c r="C627" s="298"/>
      <c r="D627" s="309"/>
      <c r="E627" s="12" t="s">
        <v>2</v>
      </c>
      <c r="F627" s="32">
        <v>1012912</v>
      </c>
      <c r="G627" s="18">
        <f t="shared" si="94"/>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9"/>
        <v>0</v>
      </c>
    </row>
    <row r="628" spans="2:24" ht="78.75">
      <c r="B628" s="298"/>
      <c r="C628" s="298"/>
      <c r="D628" s="309"/>
      <c r="E628" s="34" t="s">
        <v>80</v>
      </c>
      <c r="F628" s="32">
        <v>64529</v>
      </c>
      <c r="G628" s="18">
        <f t="shared" si="94"/>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9"/>
        <v>0</v>
      </c>
    </row>
    <row r="629" spans="2:24" ht="63">
      <c r="B629" s="298"/>
      <c r="C629" s="298"/>
      <c r="D629" s="309"/>
      <c r="E629" s="33" t="s">
        <v>359</v>
      </c>
      <c r="F629" s="32">
        <v>68416</v>
      </c>
      <c r="G629" s="18">
        <f t="shared" si="94"/>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9"/>
        <v>0</v>
      </c>
    </row>
    <row r="630" spans="2:24" ht="63">
      <c r="B630" s="298"/>
      <c r="C630" s="298"/>
      <c r="D630" s="309"/>
      <c r="E630" s="33" t="s">
        <v>360</v>
      </c>
      <c r="F630" s="32">
        <v>97504</v>
      </c>
      <c r="G630" s="18">
        <f t="shared" si="94"/>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9"/>
        <v>0</v>
      </c>
    </row>
    <row r="631" spans="2:24" ht="63">
      <c r="B631" s="298"/>
      <c r="C631" s="298"/>
      <c r="D631" s="309"/>
      <c r="E631" s="33" t="s">
        <v>207</v>
      </c>
      <c r="F631" s="32">
        <v>156612</v>
      </c>
      <c r="G631" s="18">
        <f t="shared" si="94"/>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9"/>
        <v>0</v>
      </c>
    </row>
    <row r="632" spans="2:24" ht="47.25">
      <c r="B632" s="298"/>
      <c r="C632" s="298"/>
      <c r="D632" s="309"/>
      <c r="E632" s="33" t="s">
        <v>208</v>
      </c>
      <c r="F632" s="32">
        <v>8707339</v>
      </c>
      <c r="G632" s="18">
        <f t="shared" si="94"/>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9"/>
        <v>0</v>
      </c>
    </row>
    <row r="633" spans="2:24" ht="63">
      <c r="B633" s="298"/>
      <c r="C633" s="298"/>
      <c r="D633" s="309"/>
      <c r="E633" s="33" t="s">
        <v>842</v>
      </c>
      <c r="F633" s="32">
        <v>1227000</v>
      </c>
      <c r="G633" s="18">
        <f t="shared" si="94"/>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9"/>
        <v>0</v>
      </c>
    </row>
    <row r="634" spans="2:24" ht="47.25">
      <c r="B634" s="298"/>
      <c r="C634" s="298"/>
      <c r="D634" s="309"/>
      <c r="E634" s="33" t="s">
        <v>843</v>
      </c>
      <c r="F634" s="32">
        <v>81916</v>
      </c>
      <c r="G634" s="18">
        <f t="shared" si="94"/>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9"/>
        <v>0</v>
      </c>
    </row>
    <row r="635" spans="2:24" ht="78.75">
      <c r="B635" s="298"/>
      <c r="C635" s="298"/>
      <c r="D635" s="309"/>
      <c r="E635" s="33" t="s">
        <v>844</v>
      </c>
      <c r="F635" s="32">
        <v>512000</v>
      </c>
      <c r="G635" s="18">
        <f t="shared" si="94"/>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9"/>
        <v>0</v>
      </c>
    </row>
    <row r="636" spans="2:24" ht="31.5">
      <c r="B636" s="298"/>
      <c r="C636" s="298"/>
      <c r="D636" s="309"/>
      <c r="E636" s="33" t="s">
        <v>686</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9"/>
        <v>233366</v>
      </c>
    </row>
    <row r="637" spans="2:24" ht="31.5">
      <c r="B637" s="298"/>
      <c r="C637" s="298"/>
      <c r="D637" s="309"/>
      <c r="E637" s="33" t="s">
        <v>687</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152267.4+1073.54+111690.6</f>
        <v>265031.54000000004</v>
      </c>
      <c r="X637" s="221">
        <f t="shared" si="89"/>
        <v>52968.45999999996</v>
      </c>
    </row>
    <row r="638" spans="2:24" ht="47.25">
      <c r="B638" s="298"/>
      <c r="C638" s="298"/>
      <c r="D638" s="309"/>
      <c r="E638" s="33" t="s">
        <v>688</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9823.15+153567.6</f>
        <v>163390.75</v>
      </c>
      <c r="X638" s="221">
        <f t="shared" si="89"/>
        <v>174609.25</v>
      </c>
    </row>
    <row r="639" spans="2:24" ht="31.5">
      <c r="B639" s="298"/>
      <c r="C639" s="298"/>
      <c r="D639" s="309"/>
      <c r="E639" s="33" t="s">
        <v>689</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9823.15+180573.6</f>
        <v>190396.75</v>
      </c>
      <c r="X639" s="221">
        <f t="shared" si="89"/>
        <v>119603.25</v>
      </c>
    </row>
    <row r="640" spans="2:24" ht="31.5">
      <c r="B640" s="298"/>
      <c r="C640" s="298"/>
      <c r="D640" s="309"/>
      <c r="E640" s="33" t="s">
        <v>690</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9"/>
        <v>136868</v>
      </c>
    </row>
    <row r="641" spans="2:24" ht="47.25">
      <c r="B641" s="298"/>
      <c r="C641" s="298"/>
      <c r="D641" s="309"/>
      <c r="E641" s="33" t="s">
        <v>691</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9"/>
        <v>2216</v>
      </c>
    </row>
    <row r="642" spans="2:24" ht="47.25">
      <c r="B642" s="298"/>
      <c r="C642" s="298"/>
      <c r="D642" s="309"/>
      <c r="E642" s="33" t="s">
        <v>250</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9"/>
        <v>187109</v>
      </c>
    </row>
    <row r="643" spans="2:24" ht="47.25">
      <c r="B643" s="298"/>
      <c r="C643" s="298"/>
      <c r="D643" s="309"/>
      <c r="E643" s="33" t="s">
        <v>29</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9"/>
        <v>173777.06</v>
      </c>
    </row>
    <row r="644" spans="2:24" ht="47.25">
      <c r="B644" s="298"/>
      <c r="C644" s="298"/>
      <c r="D644" s="309"/>
      <c r="E644" s="10" t="s">
        <v>30</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9"/>
        <v>180266.29</v>
      </c>
    </row>
    <row r="645" spans="2:24" ht="47.25">
      <c r="B645" s="298"/>
      <c r="C645" s="298"/>
      <c r="D645" s="309"/>
      <c r="E645" s="10" t="s">
        <v>31</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f>94840.2+28334.61</f>
        <v>123174.81</v>
      </c>
      <c r="X645" s="221">
        <f t="shared" si="89"/>
        <v>206825.19</v>
      </c>
    </row>
    <row r="646" spans="2:24" ht="47.25">
      <c r="B646" s="298"/>
      <c r="C646" s="298"/>
      <c r="D646" s="309"/>
      <c r="E646" s="10" t="s">
        <v>32</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9"/>
        <v>147496.14</v>
      </c>
    </row>
    <row r="647" spans="2:24" ht="47.25">
      <c r="B647" s="298"/>
      <c r="C647" s="298"/>
      <c r="D647" s="309"/>
      <c r="E647" s="10" t="s">
        <v>33</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9"/>
        <v>50000</v>
      </c>
    </row>
    <row r="648" spans="2:24" ht="31.5">
      <c r="B648" s="298"/>
      <c r="C648" s="298"/>
      <c r="D648" s="309"/>
      <c r="E648" s="10" t="s">
        <v>34</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9"/>
        <v>0</v>
      </c>
    </row>
    <row r="649" spans="2:24" ht="47.25">
      <c r="B649" s="298"/>
      <c r="C649" s="298"/>
      <c r="D649" s="309"/>
      <c r="E649" s="10" t="s">
        <v>35</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9"/>
        <v>115000</v>
      </c>
    </row>
    <row r="650" spans="2:24" ht="63">
      <c r="B650" s="298"/>
      <c r="C650" s="298"/>
      <c r="D650" s="309"/>
      <c r="E650" s="130" t="s">
        <v>36</v>
      </c>
      <c r="F650" s="32">
        <v>1017000</v>
      </c>
      <c r="G650" s="18">
        <f t="shared" si="94"/>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9"/>
        <v>223928.72999999998</v>
      </c>
    </row>
    <row r="651" spans="2:24" ht="47.25">
      <c r="B651" s="298"/>
      <c r="C651" s="298"/>
      <c r="D651" s="309"/>
      <c r="E651" s="130" t="s">
        <v>37</v>
      </c>
      <c r="F651" s="66">
        <v>300000</v>
      </c>
      <c r="G651" s="18">
        <f t="shared" si="94"/>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9"/>
        <v>0</v>
      </c>
    </row>
    <row r="652" spans="2:24" ht="63">
      <c r="B652" s="298"/>
      <c r="C652" s="298"/>
      <c r="D652" s="309"/>
      <c r="E652" s="130" t="s">
        <v>38</v>
      </c>
      <c r="F652" s="66">
        <v>232210</v>
      </c>
      <c r="G652" s="18">
        <f t="shared" si="94"/>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9"/>
        <v>19579</v>
      </c>
    </row>
    <row r="653" spans="2:24" ht="31.5">
      <c r="B653" s="298"/>
      <c r="C653" s="298"/>
      <c r="D653" s="309"/>
      <c r="E653" s="130" t="s">
        <v>704</v>
      </c>
      <c r="F653" s="66">
        <v>49684</v>
      </c>
      <c r="G653" s="18">
        <f t="shared" si="94"/>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9"/>
        <v>24000</v>
      </c>
    </row>
    <row r="654" spans="2:24" ht="63">
      <c r="B654" s="298"/>
      <c r="C654" s="298"/>
      <c r="D654" s="309"/>
      <c r="E654" s="130" t="s">
        <v>650</v>
      </c>
      <c r="F654" s="66">
        <v>70000</v>
      </c>
      <c r="G654" s="18">
        <f t="shared" si="94"/>
        <v>1</v>
      </c>
      <c r="H654" s="229">
        <v>70000</v>
      </c>
      <c r="I654" s="266">
        <v>3142</v>
      </c>
      <c r="J654" s="66">
        <v>70000</v>
      </c>
      <c r="K654" s="147"/>
      <c r="L654" s="147"/>
      <c r="M654" s="147"/>
      <c r="N654" s="147"/>
      <c r="O654" s="147"/>
      <c r="P654" s="147"/>
      <c r="Q654" s="147">
        <v>70000</v>
      </c>
      <c r="R654" s="147"/>
      <c r="S654" s="147"/>
      <c r="T654" s="147"/>
      <c r="U654" s="147"/>
      <c r="V654" s="147"/>
      <c r="W654" s="147"/>
      <c r="X654" s="221">
        <f t="shared" si="89"/>
        <v>70000</v>
      </c>
    </row>
    <row r="655" spans="2:24" ht="63">
      <c r="B655" s="298"/>
      <c r="C655" s="298"/>
      <c r="D655" s="309"/>
      <c r="E655" s="130" t="s">
        <v>681</v>
      </c>
      <c r="F655" s="66">
        <v>80000</v>
      </c>
      <c r="G655" s="18">
        <f t="shared" si="94"/>
        <v>1</v>
      </c>
      <c r="H655" s="229">
        <v>80000</v>
      </c>
      <c r="I655" s="270">
        <v>3142</v>
      </c>
      <c r="J655" s="66">
        <v>80000</v>
      </c>
      <c r="K655" s="147"/>
      <c r="L655" s="147"/>
      <c r="M655" s="147"/>
      <c r="N655" s="147"/>
      <c r="O655" s="147"/>
      <c r="P655" s="147"/>
      <c r="Q655" s="147">
        <v>80000</v>
      </c>
      <c r="R655" s="147"/>
      <c r="S655" s="147"/>
      <c r="T655" s="147"/>
      <c r="U655" s="147"/>
      <c r="V655" s="147"/>
      <c r="W655" s="147"/>
      <c r="X655" s="221">
        <f t="shared" si="89"/>
        <v>80000</v>
      </c>
    </row>
    <row r="656" spans="2:24" ht="47.25">
      <c r="B656" s="298"/>
      <c r="C656" s="298"/>
      <c r="D656" s="309"/>
      <c r="E656" s="130" t="s">
        <v>682</v>
      </c>
      <c r="F656" s="66">
        <v>97504</v>
      </c>
      <c r="G656" s="18">
        <f t="shared" si="94"/>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9"/>
        <v>49605.04</v>
      </c>
    </row>
    <row r="657" spans="2:24" ht="47.25">
      <c r="B657" s="298"/>
      <c r="C657" s="298"/>
      <c r="D657" s="309"/>
      <c r="E657" s="130" t="s">
        <v>683</v>
      </c>
      <c r="F657" s="66">
        <v>156612</v>
      </c>
      <c r="G657" s="18">
        <f t="shared" si="94"/>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9"/>
        <v>75787.36</v>
      </c>
    </row>
    <row r="658" spans="2:24" ht="47.25">
      <c r="B658" s="298"/>
      <c r="C658" s="298"/>
      <c r="D658" s="309"/>
      <c r="E658" s="130" t="s">
        <v>684</v>
      </c>
      <c r="F658" s="66">
        <v>65770</v>
      </c>
      <c r="G658" s="18">
        <f t="shared" si="94"/>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9"/>
        <v>29000</v>
      </c>
    </row>
    <row r="659" spans="2:24" ht="47.25">
      <c r="B659" s="298"/>
      <c r="C659" s="298"/>
      <c r="D659" s="309"/>
      <c r="E659" s="130" t="s">
        <v>17</v>
      </c>
      <c r="F659" s="66">
        <v>1227000</v>
      </c>
      <c r="G659" s="18">
        <f t="shared" si="94"/>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9"/>
        <v>209686</v>
      </c>
    </row>
    <row r="660" spans="2:24" ht="47.25">
      <c r="B660" s="298"/>
      <c r="C660" s="298"/>
      <c r="D660" s="309"/>
      <c r="E660" s="130" t="s">
        <v>213</v>
      </c>
      <c r="F660" s="66">
        <v>579976</v>
      </c>
      <c r="G660" s="18">
        <f t="shared" si="94"/>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9"/>
        <v>62079.02000000002</v>
      </c>
    </row>
    <row r="661" spans="2:24" ht="94.5">
      <c r="B661" s="298"/>
      <c r="C661" s="298"/>
      <c r="D661" s="309"/>
      <c r="E661" s="130" t="s">
        <v>214</v>
      </c>
      <c r="F661" s="66">
        <v>661469</v>
      </c>
      <c r="G661" s="18">
        <f t="shared" si="94"/>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9"/>
        <v>6590</v>
      </c>
    </row>
    <row r="662" spans="2:24" ht="31.5">
      <c r="B662" s="298"/>
      <c r="C662" s="298"/>
      <c r="D662" s="309"/>
      <c r="E662" s="130" t="s">
        <v>363</v>
      </c>
      <c r="F662" s="66">
        <v>81916</v>
      </c>
      <c r="G662" s="18">
        <f t="shared" si="94"/>
        <v>0.2807754284877191</v>
      </c>
      <c r="H662" s="229">
        <v>23000</v>
      </c>
      <c r="I662" s="270">
        <v>3142</v>
      </c>
      <c r="J662" s="66">
        <v>23000</v>
      </c>
      <c r="K662" s="147"/>
      <c r="L662" s="147"/>
      <c r="M662" s="147"/>
      <c r="N662" s="147"/>
      <c r="O662" s="147"/>
      <c r="P662" s="147">
        <v>23000</v>
      </c>
      <c r="Q662" s="147"/>
      <c r="R662" s="147"/>
      <c r="S662" s="147"/>
      <c r="T662" s="147"/>
      <c r="U662" s="147"/>
      <c r="V662" s="147"/>
      <c r="W662" s="147">
        <f>10618</f>
        <v>10618</v>
      </c>
      <c r="X662" s="221">
        <f t="shared" si="89"/>
        <v>12382</v>
      </c>
    </row>
    <row r="663" spans="2:24" ht="63">
      <c r="B663" s="298"/>
      <c r="C663" s="298"/>
      <c r="D663" s="309"/>
      <c r="E663" s="130" t="s">
        <v>231</v>
      </c>
      <c r="F663" s="66">
        <v>652288</v>
      </c>
      <c r="G663" s="18">
        <f t="shared" si="94"/>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9"/>
        <v>250809.37</v>
      </c>
    </row>
    <row r="664" spans="2:24" ht="63">
      <c r="B664" s="298"/>
      <c r="C664" s="298"/>
      <c r="D664" s="309"/>
      <c r="E664" s="130" t="s">
        <v>232</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9"/>
        <v>50000</v>
      </c>
    </row>
    <row r="665" spans="2:24" ht="63">
      <c r="B665" s="298"/>
      <c r="C665" s="298"/>
      <c r="D665" s="309"/>
      <c r="E665" s="130" t="s">
        <v>233</v>
      </c>
      <c r="F665" s="66">
        <v>1012912</v>
      </c>
      <c r="G665" s="18">
        <f t="shared" si="94"/>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9"/>
        <v>176188</v>
      </c>
    </row>
    <row r="666" spans="2:24" ht="78.75">
      <c r="B666" s="298"/>
      <c r="C666" s="298"/>
      <c r="D666" s="309"/>
      <c r="E666" s="10" t="s">
        <v>249</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9"/>
        <v>335000</v>
      </c>
    </row>
    <row r="667" spans="2:24" ht="94.5">
      <c r="B667" s="298"/>
      <c r="C667" s="298"/>
      <c r="D667" s="309"/>
      <c r="E667" s="10" t="s">
        <v>234</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9"/>
        <v>100000</v>
      </c>
    </row>
    <row r="668" spans="2:24" ht="47.25">
      <c r="B668" s="298"/>
      <c r="C668" s="298"/>
      <c r="D668" s="309"/>
      <c r="E668" s="10" t="s">
        <v>235</v>
      </c>
      <c r="F668" s="49">
        <v>198427</v>
      </c>
      <c r="G668" s="18">
        <f t="shared" si="94"/>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5" ref="X668:X731">K668+L668+M668+N668+O668+P668+Q668+R668-W668</f>
        <v>4966.479999999996</v>
      </c>
    </row>
    <row r="669" spans="2:24" ht="15.75">
      <c r="B669" s="297" t="s">
        <v>768</v>
      </c>
      <c r="C669" s="297" t="s">
        <v>780</v>
      </c>
      <c r="D669" s="308" t="s">
        <v>364</v>
      </c>
      <c r="E669" s="94"/>
      <c r="F669" s="76"/>
      <c r="G669" s="18"/>
      <c r="H669" s="235"/>
      <c r="I669" s="266"/>
      <c r="J669" s="222">
        <f>SUM(J670:J674)</f>
        <v>1208797.73</v>
      </c>
      <c r="K669" s="222">
        <f aca="true" t="shared" si="96" ref="K669:W669">SUM(K670:K674)</f>
        <v>0</v>
      </c>
      <c r="L669" s="222">
        <f t="shared" si="96"/>
        <v>99297.73</v>
      </c>
      <c r="M669" s="222">
        <f t="shared" si="96"/>
        <v>0</v>
      </c>
      <c r="N669" s="222">
        <f t="shared" si="96"/>
        <v>0</v>
      </c>
      <c r="O669" s="222">
        <f t="shared" si="96"/>
        <v>561000</v>
      </c>
      <c r="P669" s="222">
        <f t="shared" si="96"/>
        <v>280000</v>
      </c>
      <c r="Q669" s="222">
        <f t="shared" si="96"/>
        <v>109000</v>
      </c>
      <c r="R669" s="222">
        <f t="shared" si="96"/>
        <v>122000</v>
      </c>
      <c r="S669" s="222">
        <f t="shared" si="96"/>
        <v>0</v>
      </c>
      <c r="T669" s="222">
        <f t="shared" si="96"/>
        <v>37500</v>
      </c>
      <c r="U669" s="222">
        <f t="shared" si="96"/>
        <v>0</v>
      </c>
      <c r="V669" s="222">
        <f t="shared" si="96"/>
        <v>0</v>
      </c>
      <c r="W669" s="222">
        <f t="shared" si="96"/>
        <v>758991.96</v>
      </c>
      <c r="X669" s="221">
        <f t="shared" si="95"/>
        <v>412305.77</v>
      </c>
    </row>
    <row r="670" spans="2:24" ht="94.5">
      <c r="B670" s="298"/>
      <c r="C670" s="298"/>
      <c r="D670" s="309"/>
      <c r="E670" s="12" t="s">
        <v>789</v>
      </c>
      <c r="F670" s="32">
        <v>848844</v>
      </c>
      <c r="G670" s="18">
        <f t="shared" si="94"/>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5"/>
        <v>0</v>
      </c>
    </row>
    <row r="671" spans="2:24" ht="78.75">
      <c r="B671" s="298"/>
      <c r="C671" s="298"/>
      <c r="D671" s="309"/>
      <c r="E671" s="33" t="s">
        <v>692</v>
      </c>
      <c r="F671" s="32">
        <v>661770</v>
      </c>
      <c r="G671" s="18">
        <f t="shared" si="94"/>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5"/>
        <v>0</v>
      </c>
    </row>
    <row r="672" spans="2:24" ht="47.25">
      <c r="B672" s="298"/>
      <c r="C672" s="298"/>
      <c r="D672" s="309"/>
      <c r="E672" s="130" t="s">
        <v>236</v>
      </c>
      <c r="F672" s="66">
        <v>14330803</v>
      </c>
      <c r="G672" s="18">
        <f t="shared" si="94"/>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5"/>
        <v>147.77000000001863</v>
      </c>
    </row>
    <row r="673" spans="2:24" ht="78.75">
      <c r="B673" s="298"/>
      <c r="C673" s="298"/>
      <c r="D673" s="309"/>
      <c r="E673" s="130" t="s">
        <v>237</v>
      </c>
      <c r="F673" s="66">
        <v>848844</v>
      </c>
      <c r="G673" s="18">
        <f t="shared" si="94"/>
        <v>0.550741007770568</v>
      </c>
      <c r="H673" s="229">
        <v>467493.2</v>
      </c>
      <c r="I673" s="270">
        <v>3142</v>
      </c>
      <c r="J673" s="66">
        <v>437000</v>
      </c>
      <c r="K673" s="147"/>
      <c r="L673" s="147"/>
      <c r="M673" s="147"/>
      <c r="N673" s="147"/>
      <c r="O673" s="147"/>
      <c r="P673" s="147">
        <v>215000</v>
      </c>
      <c r="Q673" s="147">
        <v>100000</v>
      </c>
      <c r="R673" s="147">
        <f>122000-37500</f>
        <v>84500</v>
      </c>
      <c r="S673" s="147"/>
      <c r="T673" s="147">
        <f>37500</f>
        <v>37500</v>
      </c>
      <c r="U673" s="147"/>
      <c r="V673" s="147"/>
      <c r="W673" s="147"/>
      <c r="X673" s="221">
        <f t="shared" si="95"/>
        <v>399500</v>
      </c>
    </row>
    <row r="674" spans="2:24" ht="63">
      <c r="B674" s="300"/>
      <c r="C674" s="300"/>
      <c r="D674" s="311"/>
      <c r="E674" s="130" t="s">
        <v>517</v>
      </c>
      <c r="F674" s="66">
        <v>661770</v>
      </c>
      <c r="G674" s="18">
        <f t="shared" si="94"/>
        <v>0.30206567236351</v>
      </c>
      <c r="H674" s="229">
        <v>199898</v>
      </c>
      <c r="I674" s="270">
        <v>3142</v>
      </c>
      <c r="J674" s="66">
        <f>130000+46500</f>
        <v>176500</v>
      </c>
      <c r="K674" s="147"/>
      <c r="L674" s="147"/>
      <c r="M674" s="147"/>
      <c r="N674" s="147"/>
      <c r="O674" s="147">
        <v>65000</v>
      </c>
      <c r="P674" s="147">
        <v>65000</v>
      </c>
      <c r="Q674" s="147">
        <v>9000</v>
      </c>
      <c r="R674" s="147">
        <f>37500</f>
        <v>37500</v>
      </c>
      <c r="S674" s="147"/>
      <c r="T674" s="147">
        <f>37500-37500</f>
        <v>0</v>
      </c>
      <c r="U674" s="147"/>
      <c r="V674" s="147"/>
      <c r="W674" s="147">
        <f>1152+162690</f>
        <v>163842</v>
      </c>
      <c r="X674" s="221">
        <f t="shared" si="95"/>
        <v>12658</v>
      </c>
    </row>
    <row r="675" spans="2:24" ht="15.75">
      <c r="B675" s="297" t="s">
        <v>343</v>
      </c>
      <c r="C675" s="297" t="s">
        <v>219</v>
      </c>
      <c r="D675" s="308" t="s">
        <v>344</v>
      </c>
      <c r="E675" s="94"/>
      <c r="F675" s="76"/>
      <c r="G675" s="18"/>
      <c r="H675" s="235"/>
      <c r="I675" s="266"/>
      <c r="J675" s="222">
        <f>SUM(J676:J726)</f>
        <v>20745187.96</v>
      </c>
      <c r="K675" s="222">
        <f aca="true" t="shared" si="97" ref="K675:W675">SUM(K676:K726)</f>
        <v>0</v>
      </c>
      <c r="L675" s="222">
        <f t="shared" si="97"/>
        <v>471102.4199999999</v>
      </c>
      <c r="M675" s="222">
        <f t="shared" si="97"/>
        <v>0</v>
      </c>
      <c r="N675" s="222">
        <f t="shared" si="97"/>
        <v>0</v>
      </c>
      <c r="O675" s="222">
        <f t="shared" si="97"/>
        <v>446782.66000000003</v>
      </c>
      <c r="P675" s="222">
        <f t="shared" si="97"/>
        <v>2622872.3</v>
      </c>
      <c r="Q675" s="222">
        <f t="shared" si="97"/>
        <v>1808135.9700000002</v>
      </c>
      <c r="R675" s="222">
        <f t="shared" si="97"/>
        <v>8541948.33</v>
      </c>
      <c r="S675" s="222">
        <f t="shared" si="97"/>
        <v>6744346.28</v>
      </c>
      <c r="T675" s="222">
        <f t="shared" si="97"/>
        <v>110000</v>
      </c>
      <c r="U675" s="222">
        <f t="shared" si="97"/>
        <v>0</v>
      </c>
      <c r="V675" s="222">
        <f t="shared" si="97"/>
        <v>0</v>
      </c>
      <c r="W675" s="222">
        <f t="shared" si="97"/>
        <v>1921652.1399999997</v>
      </c>
      <c r="X675" s="221">
        <f t="shared" si="95"/>
        <v>11969189.54</v>
      </c>
    </row>
    <row r="676" spans="2:24" ht="63">
      <c r="B676" s="298"/>
      <c r="C676" s="298"/>
      <c r="D676" s="309"/>
      <c r="E676" s="288" t="s">
        <v>705</v>
      </c>
      <c r="F676" s="32">
        <v>320536</v>
      </c>
      <c r="G676" s="18">
        <f t="shared" si="94"/>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5"/>
        <v>0</v>
      </c>
    </row>
    <row r="677" spans="2:24" ht="63">
      <c r="B677" s="298"/>
      <c r="C677" s="298"/>
      <c r="D677" s="309"/>
      <c r="E677" s="288" t="s">
        <v>706</v>
      </c>
      <c r="F677" s="32">
        <v>644198</v>
      </c>
      <c r="G677" s="18">
        <f t="shared" si="94"/>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5"/>
        <v>0</v>
      </c>
    </row>
    <row r="678" spans="2:24" ht="78.75">
      <c r="B678" s="298"/>
      <c r="C678" s="298"/>
      <c r="D678" s="309"/>
      <c r="E678" s="288" t="s">
        <v>707</v>
      </c>
      <c r="F678" s="35">
        <v>1089162</v>
      </c>
      <c r="G678" s="18">
        <f t="shared" si="94"/>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5"/>
        <v>0</v>
      </c>
    </row>
    <row r="679" spans="2:24" ht="63">
      <c r="B679" s="298"/>
      <c r="C679" s="298"/>
      <c r="D679" s="309"/>
      <c r="E679" s="288" t="s">
        <v>708</v>
      </c>
      <c r="F679" s="32">
        <v>273003</v>
      </c>
      <c r="G679" s="18">
        <f t="shared" si="94"/>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5"/>
        <v>0</v>
      </c>
    </row>
    <row r="680" spans="2:24" ht="31.5">
      <c r="B680" s="298"/>
      <c r="C680" s="298"/>
      <c r="D680" s="309"/>
      <c r="E680" s="288" t="s">
        <v>709</v>
      </c>
      <c r="F680" s="32">
        <v>51257653</v>
      </c>
      <c r="G680" s="18">
        <f t="shared" si="94"/>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5"/>
        <v>0</v>
      </c>
    </row>
    <row r="681" spans="2:24" ht="78.75">
      <c r="B681" s="298"/>
      <c r="C681" s="298"/>
      <c r="D681" s="309"/>
      <c r="E681" s="289" t="s">
        <v>26</v>
      </c>
      <c r="F681" s="32">
        <v>35450000</v>
      </c>
      <c r="G681" s="18">
        <f t="shared" si="94"/>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5"/>
        <v>0</v>
      </c>
    </row>
    <row r="682" spans="2:24" ht="78.75">
      <c r="B682" s="298"/>
      <c r="C682" s="298"/>
      <c r="D682" s="309"/>
      <c r="E682" s="290" t="s">
        <v>27</v>
      </c>
      <c r="F682" s="32">
        <v>129286</v>
      </c>
      <c r="G682" s="18">
        <f t="shared" si="94"/>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5"/>
        <v>0</v>
      </c>
    </row>
    <row r="683" spans="2:24" ht="78.75">
      <c r="B683" s="298"/>
      <c r="C683" s="298"/>
      <c r="D683" s="309"/>
      <c r="E683" s="290" t="s">
        <v>680</v>
      </c>
      <c r="F683" s="32">
        <v>138818</v>
      </c>
      <c r="G683" s="18">
        <f t="shared" si="94"/>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298"/>
      <c r="C684" s="298"/>
      <c r="D684" s="309"/>
      <c r="E684" s="290" t="s">
        <v>425</v>
      </c>
      <c r="F684" s="32">
        <v>133097</v>
      </c>
      <c r="G684" s="18">
        <f t="shared" si="94"/>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298"/>
      <c r="C685" s="298"/>
      <c r="D685" s="309"/>
      <c r="E685" s="290" t="s">
        <v>426</v>
      </c>
      <c r="F685" s="32">
        <v>127630</v>
      </c>
      <c r="G685" s="18">
        <f t="shared" si="94"/>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5"/>
        <v>0</v>
      </c>
    </row>
    <row r="686" spans="2:24" ht="78.75">
      <c r="B686" s="298"/>
      <c r="C686" s="298"/>
      <c r="D686" s="309"/>
      <c r="E686" s="290" t="s">
        <v>427</v>
      </c>
      <c r="F686" s="32">
        <v>244666</v>
      </c>
      <c r="G686" s="18">
        <f t="shared" si="94"/>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5"/>
        <v>0</v>
      </c>
    </row>
    <row r="687" spans="2:24" ht="94.5">
      <c r="B687" s="298"/>
      <c r="C687" s="298"/>
      <c r="D687" s="309"/>
      <c r="E687" s="290" t="s">
        <v>428</v>
      </c>
      <c r="F687" s="32">
        <v>363762</v>
      </c>
      <c r="G687" s="18">
        <f t="shared" si="94"/>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5"/>
        <v>0</v>
      </c>
    </row>
    <row r="688" spans="2:24" ht="110.25">
      <c r="B688" s="298"/>
      <c r="C688" s="298"/>
      <c r="D688" s="309"/>
      <c r="E688" s="290" t="s">
        <v>439</v>
      </c>
      <c r="F688" s="32">
        <v>1050150</v>
      </c>
      <c r="G688" s="18">
        <f t="shared" si="94"/>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5"/>
        <v>0</v>
      </c>
    </row>
    <row r="689" spans="2:24" ht="78.75">
      <c r="B689" s="298"/>
      <c r="C689" s="298"/>
      <c r="D689" s="309"/>
      <c r="E689" s="290" t="s">
        <v>440</v>
      </c>
      <c r="F689" s="32">
        <v>449549</v>
      </c>
      <c r="G689" s="18">
        <f t="shared" si="94"/>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5"/>
        <v>0</v>
      </c>
    </row>
    <row r="690" spans="2:24" ht="78.75">
      <c r="B690" s="298"/>
      <c r="C690" s="298"/>
      <c r="D690" s="309"/>
      <c r="E690" s="290" t="s">
        <v>441</v>
      </c>
      <c r="F690" s="32">
        <v>318479</v>
      </c>
      <c r="G690" s="18">
        <f t="shared" si="94"/>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5"/>
        <v>0</v>
      </c>
    </row>
    <row r="691" spans="2:24" ht="63">
      <c r="B691" s="298"/>
      <c r="C691" s="298"/>
      <c r="D691" s="309"/>
      <c r="E691" s="290" t="s">
        <v>442</v>
      </c>
      <c r="F691" s="32">
        <v>129286</v>
      </c>
      <c r="G691" s="18">
        <f t="shared" si="94"/>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5"/>
        <v>0</v>
      </c>
    </row>
    <row r="692" spans="2:24" ht="47.25">
      <c r="B692" s="298"/>
      <c r="C692" s="298"/>
      <c r="D692" s="309"/>
      <c r="E692" s="12" t="s">
        <v>238</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5"/>
        <v>185000</v>
      </c>
    </row>
    <row r="693" spans="2:24" ht="47.25">
      <c r="B693" s="298"/>
      <c r="C693" s="298"/>
      <c r="D693" s="309"/>
      <c r="E693" s="12" t="s">
        <v>518</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5"/>
        <v>100000</v>
      </c>
    </row>
    <row r="694" spans="2:24" ht="31.5">
      <c r="B694" s="298"/>
      <c r="C694" s="298"/>
      <c r="D694" s="309"/>
      <c r="E694" s="130" t="s">
        <v>519</v>
      </c>
      <c r="F694" s="66">
        <v>8707339</v>
      </c>
      <c r="G694" s="18">
        <f aca="true" t="shared" si="98"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f>12525.6</f>
        <v>12525.6</v>
      </c>
      <c r="X694" s="221">
        <f t="shared" si="95"/>
        <v>4037474.4</v>
      </c>
    </row>
    <row r="695" spans="2:24" ht="63">
      <c r="B695" s="298"/>
      <c r="C695" s="298"/>
      <c r="D695" s="309"/>
      <c r="E695" s="130" t="s">
        <v>520</v>
      </c>
      <c r="F695" s="66">
        <v>7807134</v>
      </c>
      <c r="G695" s="18">
        <f t="shared" si="98"/>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v>1040.4</v>
      </c>
      <c r="X695" s="221">
        <f t="shared" si="95"/>
        <v>98959.6</v>
      </c>
    </row>
    <row r="696" spans="2:24" ht="63">
      <c r="B696" s="298"/>
      <c r="C696" s="298"/>
      <c r="D696" s="309"/>
      <c r="E696" s="130" t="s">
        <v>521</v>
      </c>
      <c r="F696" s="66">
        <v>5551896</v>
      </c>
      <c r="G696" s="18">
        <f t="shared" si="98"/>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v>1038</v>
      </c>
      <c r="X696" s="221">
        <f t="shared" si="95"/>
        <v>98962</v>
      </c>
    </row>
    <row r="697" spans="2:24" ht="63">
      <c r="B697" s="298"/>
      <c r="C697" s="298"/>
      <c r="D697" s="309"/>
      <c r="E697" s="130" t="s">
        <v>444</v>
      </c>
      <c r="F697" s="66">
        <v>24072945</v>
      </c>
      <c r="G697" s="18">
        <f t="shared" si="98"/>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v>1365.6</v>
      </c>
      <c r="X697" s="221">
        <f t="shared" si="95"/>
        <v>1919134.4</v>
      </c>
    </row>
    <row r="698" spans="2:24" ht="63">
      <c r="B698" s="298"/>
      <c r="C698" s="298"/>
      <c r="D698" s="309"/>
      <c r="E698" s="130" t="s">
        <v>456</v>
      </c>
      <c r="F698" s="66">
        <v>8315988</v>
      </c>
      <c r="G698" s="18">
        <f t="shared" si="98"/>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v>1004.4</v>
      </c>
      <c r="X698" s="221">
        <f t="shared" si="95"/>
        <v>98995.6</v>
      </c>
    </row>
    <row r="699" spans="2:24" ht="63">
      <c r="B699" s="298"/>
      <c r="C699" s="298"/>
      <c r="D699" s="309"/>
      <c r="E699" s="130" t="s">
        <v>443</v>
      </c>
      <c r="F699" s="66">
        <v>10896104</v>
      </c>
      <c r="G699" s="18">
        <f t="shared" si="98"/>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v>1239.6</v>
      </c>
      <c r="X699" s="221">
        <f t="shared" si="95"/>
        <v>1098760.4</v>
      </c>
    </row>
    <row r="700" spans="2:24" ht="63">
      <c r="B700" s="298"/>
      <c r="C700" s="298"/>
      <c r="D700" s="309"/>
      <c r="E700" s="130" t="s">
        <v>561</v>
      </c>
      <c r="F700" s="66">
        <v>12970218</v>
      </c>
      <c r="G700" s="18">
        <f t="shared" si="98"/>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v>1128</v>
      </c>
      <c r="X700" s="221">
        <f t="shared" si="95"/>
        <v>1527872</v>
      </c>
    </row>
    <row r="701" spans="2:24" ht="31.5">
      <c r="B701" s="298"/>
      <c r="C701" s="298"/>
      <c r="D701" s="309"/>
      <c r="E701" s="130" t="s">
        <v>562</v>
      </c>
      <c r="F701" s="66">
        <v>51257653</v>
      </c>
      <c r="G701" s="18">
        <f t="shared" si="94"/>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5"/>
        <v>200000</v>
      </c>
    </row>
    <row r="702" spans="2:24" ht="31.5">
      <c r="B702" s="298"/>
      <c r="C702" s="298"/>
      <c r="D702" s="309"/>
      <c r="E702" s="130" t="s">
        <v>563</v>
      </c>
      <c r="F702" s="66">
        <v>5350936</v>
      </c>
      <c r="G702" s="18">
        <f t="shared" si="94"/>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5"/>
        <v>195628.4</v>
      </c>
    </row>
    <row r="703" spans="2:24" ht="47.25">
      <c r="B703" s="298"/>
      <c r="C703" s="298"/>
      <c r="D703" s="309"/>
      <c r="E703" s="130" t="s">
        <v>564</v>
      </c>
      <c r="F703" s="66">
        <v>21096</v>
      </c>
      <c r="G703" s="18">
        <f t="shared" si="94"/>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5"/>
        <v>0</v>
      </c>
    </row>
    <row r="704" spans="2:24" ht="47.25">
      <c r="B704" s="298"/>
      <c r="C704" s="298"/>
      <c r="D704" s="309"/>
      <c r="E704" s="130" t="s">
        <v>565</v>
      </c>
      <c r="F704" s="66">
        <v>121189</v>
      </c>
      <c r="G704" s="18">
        <f t="shared" si="94"/>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5"/>
        <v>114998.6</v>
      </c>
    </row>
    <row r="705" spans="2:24" ht="63">
      <c r="B705" s="298"/>
      <c r="C705" s="298"/>
      <c r="D705" s="309"/>
      <c r="E705" s="130" t="s">
        <v>566</v>
      </c>
      <c r="F705" s="66">
        <v>117496.73</v>
      </c>
      <c r="G705" s="18">
        <f t="shared" si="94"/>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5"/>
        <v>117496.73000000001</v>
      </c>
    </row>
    <row r="706" spans="2:24" ht="31.5">
      <c r="B706" s="298"/>
      <c r="C706" s="298"/>
      <c r="D706" s="309"/>
      <c r="E706" s="130" t="s">
        <v>567</v>
      </c>
      <c r="F706" s="66">
        <v>320536</v>
      </c>
      <c r="G706" s="18">
        <f t="shared" si="94"/>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5"/>
        <v>164027.19</v>
      </c>
    </row>
    <row r="707" spans="2:24" ht="47.25">
      <c r="B707" s="298"/>
      <c r="C707" s="298"/>
      <c r="D707" s="309"/>
      <c r="E707" s="130" t="s">
        <v>568</v>
      </c>
      <c r="F707" s="66">
        <v>4565810</v>
      </c>
      <c r="G707" s="18">
        <f t="shared" si="94"/>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v>1334.4</v>
      </c>
      <c r="X707" s="221">
        <f t="shared" si="95"/>
        <v>98665.6</v>
      </c>
    </row>
    <row r="708" spans="2:24" ht="63">
      <c r="B708" s="298"/>
      <c r="C708" s="298"/>
      <c r="D708" s="309"/>
      <c r="E708" s="130" t="s">
        <v>569</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5"/>
        <v>11780</v>
      </c>
    </row>
    <row r="709" spans="2:24" ht="78.75">
      <c r="B709" s="298"/>
      <c r="C709" s="298"/>
      <c r="D709" s="309"/>
      <c r="E709" s="130" t="s">
        <v>570</v>
      </c>
      <c r="F709" s="66">
        <v>363762</v>
      </c>
      <c r="G709" s="18">
        <f t="shared" si="94"/>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168677+164978+5391.71</f>
        <v>339046.71</v>
      </c>
      <c r="X709" s="221">
        <f t="shared" si="95"/>
        <v>12953.289999999979</v>
      </c>
    </row>
    <row r="710" spans="2:24" ht="63">
      <c r="B710" s="298"/>
      <c r="C710" s="298"/>
      <c r="D710" s="309"/>
      <c r="E710" s="130" t="s">
        <v>571</v>
      </c>
      <c r="F710" s="66">
        <v>400650</v>
      </c>
      <c r="G710" s="18">
        <f t="shared" si="94"/>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5"/>
        <v>31584.34000000001</v>
      </c>
    </row>
    <row r="711" spans="2:24" ht="63">
      <c r="B711" s="298"/>
      <c r="C711" s="298"/>
      <c r="D711" s="309"/>
      <c r="E711" s="130" t="s">
        <v>572</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14777+174875+355039.6</f>
        <v>544691.6</v>
      </c>
      <c r="X711" s="221">
        <f t="shared" si="95"/>
        <v>239261.40000000002</v>
      </c>
    </row>
    <row r="712" spans="2:24" ht="63">
      <c r="B712" s="298"/>
      <c r="C712" s="298"/>
      <c r="D712" s="309"/>
      <c r="E712" s="130" t="s">
        <v>460</v>
      </c>
      <c r="F712" s="66">
        <v>111422</v>
      </c>
      <c r="G712" s="18">
        <f t="shared" si="94"/>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5"/>
        <v>8137.29</v>
      </c>
    </row>
    <row r="713" spans="2:24" ht="63">
      <c r="B713" s="298"/>
      <c r="C713" s="298"/>
      <c r="D713" s="309"/>
      <c r="E713" s="130" t="s">
        <v>314</v>
      </c>
      <c r="F713" s="66">
        <v>132126</v>
      </c>
      <c r="G713" s="18">
        <f t="shared" si="94"/>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5"/>
        <v>49765.37</v>
      </c>
    </row>
    <row r="714" spans="2:24" ht="63">
      <c r="B714" s="298"/>
      <c r="C714" s="298"/>
      <c r="D714" s="309"/>
      <c r="E714" s="130" t="s">
        <v>279</v>
      </c>
      <c r="F714" s="66">
        <v>318479</v>
      </c>
      <c r="G714" s="18">
        <f t="shared" si="94"/>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5"/>
        <v>220755.56</v>
      </c>
    </row>
    <row r="715" spans="2:24" ht="47.25">
      <c r="B715" s="298"/>
      <c r="C715" s="298"/>
      <c r="D715" s="309"/>
      <c r="E715" s="130" t="s">
        <v>280</v>
      </c>
      <c r="F715" s="66">
        <v>117808</v>
      </c>
      <c r="G715" s="18">
        <f t="shared" si="94"/>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5"/>
        <v>109814.8</v>
      </c>
    </row>
    <row r="716" spans="2:24" ht="63">
      <c r="B716" s="298"/>
      <c r="C716" s="298"/>
      <c r="D716" s="309"/>
      <c r="E716" s="130" t="s">
        <v>281</v>
      </c>
      <c r="F716" s="66">
        <v>589979</v>
      </c>
      <c r="G716" s="18">
        <f t="shared" si="94"/>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5"/>
        <v>412059.78</v>
      </c>
    </row>
    <row r="717" spans="2:24" ht="78.75">
      <c r="B717" s="298"/>
      <c r="C717" s="298"/>
      <c r="D717" s="309"/>
      <c r="E717" s="130" t="s">
        <v>282</v>
      </c>
      <c r="F717" s="66">
        <v>134000</v>
      </c>
      <c r="G717" s="18">
        <f aca="true" t="shared" si="99"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5"/>
        <v>75214.27</v>
      </c>
    </row>
    <row r="718" spans="2:24" ht="63">
      <c r="B718" s="298"/>
      <c r="C718" s="298"/>
      <c r="D718" s="309"/>
      <c r="E718" s="130" t="s">
        <v>283</v>
      </c>
      <c r="F718" s="66">
        <v>979985</v>
      </c>
      <c r="G718" s="18">
        <f t="shared" si="99"/>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5"/>
        <v>80000</v>
      </c>
    </row>
    <row r="719" spans="2:24" ht="63">
      <c r="B719" s="298"/>
      <c r="C719" s="298"/>
      <c r="D719" s="309"/>
      <c r="E719" s="130" t="s">
        <v>287</v>
      </c>
      <c r="F719" s="66">
        <v>244666</v>
      </c>
      <c r="G719" s="18">
        <f t="shared" si="99"/>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5"/>
        <v>42000</v>
      </c>
    </row>
    <row r="720" spans="2:24" ht="78.75">
      <c r="B720" s="298"/>
      <c r="C720" s="298"/>
      <c r="D720" s="309"/>
      <c r="E720" s="130" t="s">
        <v>495</v>
      </c>
      <c r="F720" s="66">
        <v>1050150</v>
      </c>
      <c r="G720" s="18">
        <f t="shared" si="99"/>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5"/>
        <v>10000</v>
      </c>
    </row>
    <row r="721" spans="2:24" ht="63">
      <c r="B721" s="298"/>
      <c r="C721" s="298"/>
      <c r="D721" s="309"/>
      <c r="E721" s="130" t="s">
        <v>432</v>
      </c>
      <c r="F721" s="66">
        <v>148000</v>
      </c>
      <c r="G721" s="18">
        <f t="shared" si="99"/>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5"/>
        <v>148000</v>
      </c>
    </row>
    <row r="722" spans="2:24" ht="63">
      <c r="B722" s="298"/>
      <c r="C722" s="298"/>
      <c r="D722" s="309"/>
      <c r="E722" s="130" t="s">
        <v>433</v>
      </c>
      <c r="F722" s="66">
        <v>133097</v>
      </c>
      <c r="G722" s="18">
        <f t="shared" si="99"/>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5"/>
        <v>125500</v>
      </c>
    </row>
    <row r="723" spans="2:24" ht="47.25">
      <c r="B723" s="298"/>
      <c r="C723" s="298"/>
      <c r="D723" s="309"/>
      <c r="E723" s="130" t="s">
        <v>434</v>
      </c>
      <c r="F723" s="66">
        <v>273003</v>
      </c>
      <c r="G723" s="18">
        <f t="shared" si="99"/>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122436.5+118554.5+3568+3957.43</f>
        <v>248516.43</v>
      </c>
      <c r="X723" s="221">
        <f t="shared" si="95"/>
        <v>24483.570000000007</v>
      </c>
    </row>
    <row r="724" spans="2:24" ht="63">
      <c r="B724" s="298"/>
      <c r="C724" s="298"/>
      <c r="D724" s="309"/>
      <c r="E724" s="130" t="s">
        <v>435</v>
      </c>
      <c r="F724" s="66">
        <v>475000</v>
      </c>
      <c r="G724" s="133">
        <f t="shared" si="99"/>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5"/>
        <v>48.05000000000018</v>
      </c>
    </row>
    <row r="725" spans="2:24" ht="31.5">
      <c r="B725" s="298"/>
      <c r="C725" s="298"/>
      <c r="D725" s="309"/>
      <c r="E725" s="130" t="s">
        <v>165</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5"/>
        <v>151856.9</v>
      </c>
    </row>
    <row r="726" spans="2:24" ht="63">
      <c r="B726" s="298"/>
      <c r="C726" s="298"/>
      <c r="D726" s="309"/>
      <c r="E726" s="134" t="s">
        <v>91</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5"/>
        <v>160000</v>
      </c>
    </row>
    <row r="727" spans="2:24" ht="15.75">
      <c r="B727" s="304" t="s">
        <v>764</v>
      </c>
      <c r="C727" s="304" t="s">
        <v>832</v>
      </c>
      <c r="D727" s="308" t="s">
        <v>461</v>
      </c>
      <c r="E727" s="12"/>
      <c r="F727" s="32"/>
      <c r="G727" s="18"/>
      <c r="H727" s="253"/>
      <c r="I727" s="270"/>
      <c r="J727" s="220">
        <f>J728</f>
        <v>285000</v>
      </c>
      <c r="K727" s="220">
        <f aca="true" t="shared" si="100" ref="K727:W727">K728</f>
        <v>0</v>
      </c>
      <c r="L727" s="220">
        <f t="shared" si="100"/>
        <v>0</v>
      </c>
      <c r="M727" s="220">
        <f t="shared" si="100"/>
        <v>0</v>
      </c>
      <c r="N727" s="220">
        <f t="shared" si="100"/>
        <v>0</v>
      </c>
      <c r="O727" s="220">
        <f t="shared" si="100"/>
        <v>95000</v>
      </c>
      <c r="P727" s="220">
        <f t="shared" si="100"/>
        <v>180000</v>
      </c>
      <c r="Q727" s="220">
        <f t="shared" si="100"/>
        <v>100000</v>
      </c>
      <c r="R727" s="220">
        <f t="shared" si="100"/>
        <v>-90000</v>
      </c>
      <c r="S727" s="220">
        <f t="shared" si="100"/>
        <v>0</v>
      </c>
      <c r="T727" s="220">
        <f t="shared" si="100"/>
        <v>0</v>
      </c>
      <c r="U727" s="220">
        <f t="shared" si="100"/>
        <v>0</v>
      </c>
      <c r="V727" s="220">
        <f t="shared" si="100"/>
        <v>0</v>
      </c>
      <c r="W727" s="220">
        <f t="shared" si="100"/>
        <v>0</v>
      </c>
      <c r="X727" s="221">
        <f t="shared" si="95"/>
        <v>285000</v>
      </c>
    </row>
    <row r="728" spans="2:24" ht="31.5">
      <c r="B728" s="305"/>
      <c r="C728" s="305"/>
      <c r="D728" s="309"/>
      <c r="E728" s="135" t="s">
        <v>92</v>
      </c>
      <c r="F728" s="32"/>
      <c r="G728" s="18"/>
      <c r="H728" s="253"/>
      <c r="I728" s="270"/>
      <c r="J728" s="26">
        <f>SUM(J729:J731)</f>
        <v>285000</v>
      </c>
      <c r="K728" s="26">
        <f aca="true" t="shared" si="101" ref="K728:W728">SUM(K729:K731)</f>
        <v>0</v>
      </c>
      <c r="L728" s="26">
        <f t="shared" si="101"/>
        <v>0</v>
      </c>
      <c r="M728" s="26">
        <f t="shared" si="101"/>
        <v>0</v>
      </c>
      <c r="N728" s="26">
        <f t="shared" si="101"/>
        <v>0</v>
      </c>
      <c r="O728" s="26">
        <f t="shared" si="101"/>
        <v>95000</v>
      </c>
      <c r="P728" s="26">
        <f t="shared" si="101"/>
        <v>180000</v>
      </c>
      <c r="Q728" s="26">
        <f t="shared" si="101"/>
        <v>100000</v>
      </c>
      <c r="R728" s="26">
        <f t="shared" si="101"/>
        <v>-90000</v>
      </c>
      <c r="S728" s="26">
        <f t="shared" si="101"/>
        <v>0</v>
      </c>
      <c r="T728" s="26">
        <f t="shared" si="101"/>
        <v>0</v>
      </c>
      <c r="U728" s="26">
        <f t="shared" si="101"/>
        <v>0</v>
      </c>
      <c r="V728" s="26">
        <f t="shared" si="101"/>
        <v>0</v>
      </c>
      <c r="W728" s="26">
        <f t="shared" si="101"/>
        <v>0</v>
      </c>
      <c r="X728" s="221">
        <f t="shared" si="95"/>
        <v>285000</v>
      </c>
    </row>
    <row r="729" spans="2:24" ht="15.75">
      <c r="B729" s="305"/>
      <c r="C729" s="305"/>
      <c r="D729" s="309"/>
      <c r="E729" s="53" t="s">
        <v>93</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5"/>
        <v>205000</v>
      </c>
    </row>
    <row r="730" spans="2:24" ht="47.25" hidden="1">
      <c r="B730" s="305"/>
      <c r="C730" s="305"/>
      <c r="D730" s="309"/>
      <c r="E730" s="136" t="s">
        <v>94</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5"/>
        <v>0</v>
      </c>
    </row>
    <row r="731" spans="2:24" ht="31.5">
      <c r="B731" s="306"/>
      <c r="C731" s="306"/>
      <c r="D731" s="311"/>
      <c r="E731" s="136" t="s">
        <v>95</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5"/>
        <v>80000</v>
      </c>
    </row>
    <row r="732" spans="2:24" ht="15.75">
      <c r="B732" s="355" t="s">
        <v>765</v>
      </c>
      <c r="C732" s="355" t="s">
        <v>51</v>
      </c>
      <c r="D732" s="292" t="s">
        <v>774</v>
      </c>
      <c r="E732" s="94"/>
      <c r="F732" s="76"/>
      <c r="G732" s="99"/>
      <c r="H732" s="235"/>
      <c r="I732" s="266"/>
      <c r="J732" s="222">
        <f>J733+J734+J735+J736+J743+J747+J737+J738+J741+J740+J739</f>
        <v>3365616.33</v>
      </c>
      <c r="K732" s="222">
        <f aca="true" t="shared" si="102" ref="K732:W732">K733+K734+K735+K736+K743+K747+K737+K738+K741+K740+K739</f>
        <v>0</v>
      </c>
      <c r="L732" s="222">
        <f t="shared" si="102"/>
        <v>1345116.33</v>
      </c>
      <c r="M732" s="222">
        <f t="shared" si="102"/>
        <v>0</v>
      </c>
      <c r="N732" s="222">
        <f t="shared" si="102"/>
        <v>0</v>
      </c>
      <c r="O732" s="222">
        <f t="shared" si="102"/>
        <v>280625</v>
      </c>
      <c r="P732" s="222">
        <f t="shared" si="102"/>
        <v>70625</v>
      </c>
      <c r="Q732" s="222">
        <f t="shared" si="102"/>
        <v>1320625</v>
      </c>
      <c r="R732" s="222">
        <f t="shared" si="102"/>
        <v>107625</v>
      </c>
      <c r="S732" s="222">
        <f t="shared" si="102"/>
        <v>164625</v>
      </c>
      <c r="T732" s="222">
        <f t="shared" si="102"/>
        <v>47125</v>
      </c>
      <c r="U732" s="222">
        <f t="shared" si="102"/>
        <v>14625</v>
      </c>
      <c r="V732" s="222">
        <f t="shared" si="102"/>
        <v>14625</v>
      </c>
      <c r="W732" s="222">
        <f t="shared" si="102"/>
        <v>1566067.53</v>
      </c>
      <c r="X732" s="221">
        <f aca="true" t="shared" si="103" ref="X732:X781">K732+L732+M732+N732+O732+P732+Q732+R732-W732</f>
        <v>1558548.8</v>
      </c>
    </row>
    <row r="733" spans="2:24" ht="94.5">
      <c r="B733" s="355"/>
      <c r="C733" s="355"/>
      <c r="D733" s="292"/>
      <c r="E733" s="19" t="s">
        <v>602</v>
      </c>
      <c r="F733" s="66">
        <v>540490</v>
      </c>
      <c r="G733" s="18">
        <f aca="true" t="shared" si="104"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3"/>
        <v>0</v>
      </c>
    </row>
    <row r="734" spans="2:24" ht="63">
      <c r="B734" s="355"/>
      <c r="C734" s="355"/>
      <c r="D734" s="292"/>
      <c r="E734" s="10" t="s">
        <v>288</v>
      </c>
      <c r="F734" s="76">
        <v>1042551</v>
      </c>
      <c r="G734" s="18">
        <f t="shared" si="104"/>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3"/>
        <v>0</v>
      </c>
    </row>
    <row r="735" spans="2:24" ht="47.25">
      <c r="B735" s="355"/>
      <c r="C735" s="355"/>
      <c r="D735" s="292"/>
      <c r="E735" s="28" t="s">
        <v>603</v>
      </c>
      <c r="F735" s="76">
        <v>1012910</v>
      </c>
      <c r="G735" s="18">
        <f t="shared" si="104"/>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3"/>
        <v>0</v>
      </c>
    </row>
    <row r="736" spans="2:24" ht="47.25">
      <c r="B736" s="355"/>
      <c r="C736" s="355"/>
      <c r="D736" s="292"/>
      <c r="E736" s="28" t="s">
        <v>604</v>
      </c>
      <c r="F736" s="76">
        <v>1042551</v>
      </c>
      <c r="G736" s="18">
        <f t="shared" si="104"/>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3"/>
        <v>0</v>
      </c>
    </row>
    <row r="737" spans="2:24" ht="31.5">
      <c r="B737" s="355"/>
      <c r="C737" s="355"/>
      <c r="D737" s="292"/>
      <c r="E737" s="130" t="s">
        <v>96</v>
      </c>
      <c r="F737" s="66">
        <v>704692</v>
      </c>
      <c r="G737" s="18">
        <f t="shared" si="104"/>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3"/>
        <v>50000</v>
      </c>
    </row>
    <row r="738" spans="2:24" ht="78.75">
      <c r="B738" s="355"/>
      <c r="C738" s="355"/>
      <c r="D738" s="292"/>
      <c r="E738" s="130" t="s">
        <v>97</v>
      </c>
      <c r="F738" s="66">
        <v>540490</v>
      </c>
      <c r="G738" s="18">
        <f t="shared" si="104"/>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3"/>
        <v>17137.009999999995</v>
      </c>
    </row>
    <row r="739" spans="2:24" ht="31.5">
      <c r="B739" s="355"/>
      <c r="C739" s="355"/>
      <c r="D739" s="292"/>
      <c r="E739" s="130" t="s">
        <v>601</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3"/>
        <v>0</v>
      </c>
    </row>
    <row r="740" spans="2:24" ht="94.5">
      <c r="B740" s="355"/>
      <c r="C740" s="355"/>
      <c r="D740" s="292"/>
      <c r="E740" s="130" t="s">
        <v>760</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3"/>
        <v>193000</v>
      </c>
    </row>
    <row r="741" spans="2:24" ht="47.25">
      <c r="B741" s="355"/>
      <c r="C741" s="355"/>
      <c r="D741" s="292"/>
      <c r="E741" s="137" t="s">
        <v>761</v>
      </c>
      <c r="F741" s="40"/>
      <c r="G741" s="138"/>
      <c r="H741" s="236"/>
      <c r="I741" s="267"/>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221">
        <f t="shared" si="103"/>
        <v>0</v>
      </c>
    </row>
    <row r="742" spans="2:24" ht="47.25">
      <c r="B742" s="355"/>
      <c r="C742" s="355"/>
      <c r="D742" s="292"/>
      <c r="E742" s="130" t="s">
        <v>311</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3"/>
        <v>0</v>
      </c>
    </row>
    <row r="743" spans="2:24" ht="47.25">
      <c r="B743" s="355"/>
      <c r="C743" s="355"/>
      <c r="D743" s="292"/>
      <c r="E743" s="36" t="s">
        <v>593</v>
      </c>
      <c r="F743" s="76"/>
      <c r="G743" s="99"/>
      <c r="H743" s="235"/>
      <c r="I743" s="266"/>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221">
        <f t="shared" si="103"/>
        <v>1250000</v>
      </c>
    </row>
    <row r="744" spans="2:24" ht="47.25">
      <c r="B744" s="355"/>
      <c r="C744" s="355"/>
      <c r="D744" s="292"/>
      <c r="E744" s="10" t="s">
        <v>594</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3"/>
        <v>0</v>
      </c>
    </row>
    <row r="745" spans="2:24" ht="47.25">
      <c r="B745" s="355"/>
      <c r="C745" s="355"/>
      <c r="D745" s="292"/>
      <c r="E745" s="10" t="s">
        <v>312</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3"/>
        <v>0</v>
      </c>
    </row>
    <row r="746" spans="2:24" ht="31.5">
      <c r="B746" s="355"/>
      <c r="C746" s="355"/>
      <c r="D746" s="292"/>
      <c r="E746" s="10" t="s">
        <v>313</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3"/>
        <v>1250000</v>
      </c>
    </row>
    <row r="747" spans="2:24" ht="47.25">
      <c r="B747" s="355"/>
      <c r="C747" s="355"/>
      <c r="D747" s="292"/>
      <c r="E747" s="36" t="s">
        <v>776</v>
      </c>
      <c r="F747" s="76"/>
      <c r="G747" s="99"/>
      <c r="H747" s="235"/>
      <c r="I747" s="266"/>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221">
        <f t="shared" si="103"/>
        <v>48411.79000000001</v>
      </c>
    </row>
    <row r="748" spans="2:24" ht="94.5">
      <c r="B748" s="355"/>
      <c r="C748" s="355"/>
      <c r="D748" s="292"/>
      <c r="E748" s="33" t="s">
        <v>605</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3"/>
        <v>0</v>
      </c>
    </row>
    <row r="749" spans="2:24" ht="63">
      <c r="B749" s="355"/>
      <c r="C749" s="355"/>
      <c r="D749" s="292"/>
      <c r="E749" s="33" t="s">
        <v>606</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3"/>
        <v>0</v>
      </c>
    </row>
    <row r="750" spans="2:24" ht="94.5">
      <c r="B750" s="355"/>
      <c r="C750" s="355"/>
      <c r="D750" s="292"/>
      <c r="E750" s="33" t="s">
        <v>820</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f>12000+7000</f>
        <v>19000</v>
      </c>
      <c r="X750" s="221">
        <f t="shared" si="103"/>
        <v>23500</v>
      </c>
    </row>
    <row r="751" spans="2:24" ht="63">
      <c r="B751" s="355"/>
      <c r="C751" s="355"/>
      <c r="D751" s="292"/>
      <c r="E751" s="33" t="s">
        <v>821</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3"/>
        <v>24911.789999999994</v>
      </c>
    </row>
    <row r="752" spans="2:24" ht="15.75">
      <c r="B752" s="204"/>
      <c r="C752" s="205"/>
      <c r="D752" s="348" t="s">
        <v>217</v>
      </c>
      <c r="E752" s="349"/>
      <c r="F752" s="142"/>
      <c r="G752" s="143"/>
      <c r="H752" s="254"/>
      <c r="I752" s="271"/>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221">
        <f t="shared" si="103"/>
        <v>315049.92999999993</v>
      </c>
    </row>
    <row r="753" spans="2:24" ht="15.75">
      <c r="B753" s="293" t="s">
        <v>827</v>
      </c>
      <c r="C753" s="293" t="s">
        <v>825</v>
      </c>
      <c r="D753" s="307" t="s">
        <v>109</v>
      </c>
      <c r="E753" s="278"/>
      <c r="F753" s="57"/>
      <c r="G753" s="61"/>
      <c r="H753" s="57"/>
      <c r="I753" s="258"/>
      <c r="J753" s="201">
        <f>J754</f>
        <v>80000</v>
      </c>
      <c r="K753" s="201">
        <f aca="true" t="shared" si="109" ref="K753:W753">K754</f>
        <v>0</v>
      </c>
      <c r="L753" s="201">
        <f t="shared" si="109"/>
        <v>0</v>
      </c>
      <c r="M753" s="201">
        <f t="shared" si="109"/>
        <v>0</v>
      </c>
      <c r="N753" s="201">
        <f t="shared" si="109"/>
        <v>0</v>
      </c>
      <c r="O753" s="201">
        <f t="shared" si="109"/>
        <v>0</v>
      </c>
      <c r="P753" s="201">
        <f t="shared" si="109"/>
        <v>80000</v>
      </c>
      <c r="Q753" s="201">
        <f t="shared" si="109"/>
        <v>0</v>
      </c>
      <c r="R753" s="201">
        <f t="shared" si="109"/>
        <v>0</v>
      </c>
      <c r="S753" s="201">
        <f t="shared" si="109"/>
        <v>0</v>
      </c>
      <c r="T753" s="201">
        <f t="shared" si="109"/>
        <v>0</v>
      </c>
      <c r="U753" s="201">
        <f t="shared" si="109"/>
        <v>0</v>
      </c>
      <c r="V753" s="201">
        <f t="shared" si="109"/>
        <v>0</v>
      </c>
      <c r="W753" s="201">
        <f t="shared" si="109"/>
        <v>0</v>
      </c>
      <c r="X753" s="221">
        <f t="shared" si="103"/>
        <v>80000</v>
      </c>
    </row>
    <row r="754" spans="2:24" ht="31.5">
      <c r="B754" s="293"/>
      <c r="C754" s="293"/>
      <c r="D754" s="307"/>
      <c r="E754" s="31" t="s">
        <v>693</v>
      </c>
      <c r="F754" s="57"/>
      <c r="G754" s="61"/>
      <c r="H754" s="57"/>
      <c r="I754" s="258">
        <v>3110</v>
      </c>
      <c r="J754" s="57">
        <v>80000</v>
      </c>
      <c r="K754" s="57"/>
      <c r="L754" s="57"/>
      <c r="M754" s="57"/>
      <c r="N754" s="57"/>
      <c r="O754" s="57"/>
      <c r="P754" s="57">
        <v>80000</v>
      </c>
      <c r="Q754" s="57"/>
      <c r="R754" s="57"/>
      <c r="S754" s="57"/>
      <c r="T754" s="57"/>
      <c r="U754" s="57"/>
      <c r="V754" s="57"/>
      <c r="W754" s="57"/>
      <c r="X754" s="221">
        <f t="shared" si="103"/>
        <v>80000</v>
      </c>
    </row>
    <row r="755" spans="2:24" ht="15.75">
      <c r="B755" s="355" t="s">
        <v>765</v>
      </c>
      <c r="C755" s="355" t="s">
        <v>51</v>
      </c>
      <c r="D755" s="292" t="s">
        <v>774</v>
      </c>
      <c r="E755" s="214"/>
      <c r="F755" s="57"/>
      <c r="G755" s="61"/>
      <c r="H755" s="225"/>
      <c r="I755" s="258"/>
      <c r="J755" s="201">
        <f>J756+J760+J763+J764+J765+J766</f>
        <v>319999.22</v>
      </c>
      <c r="K755" s="201">
        <f aca="true" t="shared" si="110" ref="K755:W755">K756+K760+K763+K764+K765+K766</f>
        <v>0</v>
      </c>
      <c r="L755" s="201">
        <f t="shared" si="110"/>
        <v>84949.29000000001</v>
      </c>
      <c r="M755" s="201">
        <f t="shared" si="110"/>
        <v>0</v>
      </c>
      <c r="N755" s="201">
        <f t="shared" si="110"/>
        <v>0</v>
      </c>
      <c r="O755" s="201">
        <f t="shared" si="110"/>
        <v>80977.93</v>
      </c>
      <c r="P755" s="201">
        <f t="shared" si="110"/>
        <v>57036</v>
      </c>
      <c r="Q755" s="201">
        <f t="shared" si="110"/>
        <v>0</v>
      </c>
      <c r="R755" s="201">
        <f t="shared" si="110"/>
        <v>97036</v>
      </c>
      <c r="S755" s="201">
        <f t="shared" si="110"/>
        <v>0</v>
      </c>
      <c r="T755" s="201">
        <f t="shared" si="110"/>
        <v>0</v>
      </c>
      <c r="U755" s="201">
        <f t="shared" si="110"/>
        <v>0</v>
      </c>
      <c r="V755" s="201">
        <f t="shared" si="110"/>
        <v>0</v>
      </c>
      <c r="W755" s="201">
        <f t="shared" si="110"/>
        <v>84949.29000000001</v>
      </c>
      <c r="X755" s="221">
        <f t="shared" si="103"/>
        <v>235049.92999999996</v>
      </c>
    </row>
    <row r="756" spans="2:24" ht="63">
      <c r="B756" s="355"/>
      <c r="C756" s="355"/>
      <c r="D756" s="292"/>
      <c r="E756" s="39" t="s">
        <v>607</v>
      </c>
      <c r="F756" s="57"/>
      <c r="G756" s="61"/>
      <c r="H756" s="225"/>
      <c r="I756" s="258"/>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221">
        <f t="shared" si="103"/>
        <v>223466.3</v>
      </c>
    </row>
    <row r="757" spans="2:24" ht="63">
      <c r="B757" s="355"/>
      <c r="C757" s="355"/>
      <c r="D757" s="292"/>
      <c r="E757" s="11" t="s">
        <v>608</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3"/>
        <v>0</v>
      </c>
    </row>
    <row r="758" spans="2:24" ht="47.25">
      <c r="B758" s="355"/>
      <c r="C758" s="355"/>
      <c r="D758" s="292"/>
      <c r="E758" s="139" t="s">
        <v>822</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3"/>
        <v>29394.3</v>
      </c>
    </row>
    <row r="759" spans="2:24" ht="47.25">
      <c r="B759" s="355"/>
      <c r="C759" s="355"/>
      <c r="D759" s="292"/>
      <c r="E759" s="139" t="s">
        <v>101</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3"/>
        <v>194072</v>
      </c>
    </row>
    <row r="760" spans="2:24" ht="63">
      <c r="B760" s="355"/>
      <c r="C760" s="355"/>
      <c r="D760" s="292"/>
      <c r="E760" s="39" t="s">
        <v>609</v>
      </c>
      <c r="F760" s="57"/>
      <c r="G760" s="61"/>
      <c r="H760" s="225"/>
      <c r="I760" s="258"/>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221">
        <f t="shared" si="103"/>
        <v>11583.630000000001</v>
      </c>
    </row>
    <row r="761" spans="2:24" ht="78.75">
      <c r="B761" s="355"/>
      <c r="C761" s="355"/>
      <c r="D761" s="292"/>
      <c r="E761" s="41" t="s">
        <v>121</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3"/>
        <v>0</v>
      </c>
    </row>
    <row r="762" spans="2:24" ht="47.25">
      <c r="B762" s="355"/>
      <c r="C762" s="355"/>
      <c r="D762" s="292"/>
      <c r="E762" s="139" t="s">
        <v>181</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3"/>
        <v>11583.63</v>
      </c>
    </row>
    <row r="763" spans="2:24" ht="126">
      <c r="B763" s="355"/>
      <c r="C763" s="355"/>
      <c r="D763" s="292"/>
      <c r="E763" s="42" t="s">
        <v>122</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3"/>
        <v>0</v>
      </c>
    </row>
    <row r="764" spans="2:24" ht="31.5" hidden="1">
      <c r="B764" s="355"/>
      <c r="C764" s="355"/>
      <c r="D764" s="292"/>
      <c r="E764" s="31" t="s">
        <v>693</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3"/>
        <v>0</v>
      </c>
    </row>
    <row r="765" spans="2:24" ht="94.5" hidden="1">
      <c r="B765" s="355"/>
      <c r="C765" s="355"/>
      <c r="D765" s="292"/>
      <c r="E765" s="31" t="s">
        <v>694</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3"/>
        <v>0</v>
      </c>
    </row>
    <row r="766" spans="2:24" ht="47.25" hidden="1">
      <c r="B766" s="355"/>
      <c r="C766" s="355"/>
      <c r="D766" s="292"/>
      <c r="E766" s="31" t="s">
        <v>808</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3"/>
        <v>0</v>
      </c>
    </row>
    <row r="767" spans="2:24" ht="15.75">
      <c r="B767" s="215"/>
      <c r="C767" s="215"/>
      <c r="D767" s="357" t="s">
        <v>497</v>
      </c>
      <c r="E767" s="358"/>
      <c r="F767" s="142"/>
      <c r="G767" s="143"/>
      <c r="H767" s="254"/>
      <c r="I767" s="271"/>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221">
        <f t="shared" si="103"/>
        <v>359000</v>
      </c>
    </row>
    <row r="768" spans="2:24" ht="15.75">
      <c r="B768" s="354" t="s">
        <v>827</v>
      </c>
      <c r="C768" s="354" t="s">
        <v>825</v>
      </c>
      <c r="D768" s="292" t="s">
        <v>109</v>
      </c>
      <c r="E768" s="42"/>
      <c r="F768" s="57"/>
      <c r="G768" s="61"/>
      <c r="H768" s="225"/>
      <c r="I768" s="258"/>
      <c r="J768" s="220">
        <f>J771+J770+J769</f>
        <v>359000</v>
      </c>
      <c r="K768" s="220">
        <f aca="true" t="shared" si="114" ref="K768:W768">K771+K770+K769</f>
        <v>0</v>
      </c>
      <c r="L768" s="220">
        <f t="shared" si="114"/>
        <v>0</v>
      </c>
      <c r="M768" s="220">
        <f t="shared" si="114"/>
        <v>0</v>
      </c>
      <c r="N768" s="220">
        <f t="shared" si="114"/>
        <v>0</v>
      </c>
      <c r="O768" s="220">
        <f t="shared" si="114"/>
        <v>0</v>
      </c>
      <c r="P768" s="220">
        <f t="shared" si="114"/>
        <v>359000</v>
      </c>
      <c r="Q768" s="220">
        <f t="shared" si="114"/>
        <v>0</v>
      </c>
      <c r="R768" s="220">
        <f t="shared" si="114"/>
        <v>0</v>
      </c>
      <c r="S768" s="220">
        <f t="shared" si="114"/>
        <v>0</v>
      </c>
      <c r="T768" s="220">
        <f t="shared" si="114"/>
        <v>0</v>
      </c>
      <c r="U768" s="220">
        <f t="shared" si="114"/>
        <v>0</v>
      </c>
      <c r="V768" s="220">
        <f t="shared" si="114"/>
        <v>0</v>
      </c>
      <c r="W768" s="220">
        <f t="shared" si="114"/>
        <v>0</v>
      </c>
      <c r="X768" s="221">
        <f t="shared" si="103"/>
        <v>359000</v>
      </c>
    </row>
    <row r="769" spans="2:24" ht="31.5">
      <c r="B769" s="354"/>
      <c r="C769" s="354"/>
      <c r="D769" s="292"/>
      <c r="E769" s="51" t="s">
        <v>498</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3"/>
        <v>90000</v>
      </c>
    </row>
    <row r="770" spans="2:24" ht="63">
      <c r="B770" s="354"/>
      <c r="C770" s="354"/>
      <c r="D770" s="292"/>
      <c r="E770" s="51" t="s">
        <v>190</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3"/>
        <v>150000</v>
      </c>
    </row>
    <row r="771" spans="2:24" ht="47.25">
      <c r="B771" s="354"/>
      <c r="C771" s="354"/>
      <c r="D771" s="292"/>
      <c r="E771" s="51" t="s">
        <v>191</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3"/>
        <v>119000</v>
      </c>
    </row>
    <row r="772" spans="2:24" ht="15.75">
      <c r="B772" s="215"/>
      <c r="C772" s="215"/>
      <c r="D772" s="357" t="s">
        <v>192</v>
      </c>
      <c r="E772" s="358"/>
      <c r="F772" s="142"/>
      <c r="G772" s="143"/>
      <c r="H772" s="254"/>
      <c r="I772" s="271"/>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221">
        <f t="shared" si="103"/>
        <v>100000</v>
      </c>
    </row>
    <row r="773" spans="2:24" ht="15.75">
      <c r="B773" s="304" t="s">
        <v>60</v>
      </c>
      <c r="C773" s="304" t="s">
        <v>218</v>
      </c>
      <c r="D773" s="308" t="s">
        <v>193</v>
      </c>
      <c r="E773" s="42"/>
      <c r="F773" s="57"/>
      <c r="G773" s="61"/>
      <c r="H773" s="225"/>
      <c r="I773" s="258"/>
      <c r="J773" s="220">
        <f>SUM(J774:J776)</f>
        <v>309436</v>
      </c>
      <c r="K773" s="220">
        <f aca="true" t="shared" si="116" ref="K773:W773">SUM(K774:K776)</f>
        <v>0</v>
      </c>
      <c r="L773" s="220">
        <f t="shared" si="116"/>
        <v>0</v>
      </c>
      <c r="M773" s="220">
        <f t="shared" si="116"/>
        <v>309436</v>
      </c>
      <c r="N773" s="220">
        <f t="shared" si="116"/>
        <v>0</v>
      </c>
      <c r="O773" s="220">
        <f t="shared" si="116"/>
        <v>0</v>
      </c>
      <c r="P773" s="220">
        <f t="shared" si="116"/>
        <v>0</v>
      </c>
      <c r="Q773" s="220">
        <f t="shared" si="116"/>
        <v>0</v>
      </c>
      <c r="R773" s="220">
        <f t="shared" si="116"/>
        <v>0</v>
      </c>
      <c r="S773" s="220">
        <f t="shared" si="116"/>
        <v>0</v>
      </c>
      <c r="T773" s="220">
        <f t="shared" si="116"/>
        <v>0</v>
      </c>
      <c r="U773" s="220">
        <f t="shared" si="116"/>
        <v>0</v>
      </c>
      <c r="V773" s="220">
        <f t="shared" si="116"/>
        <v>0</v>
      </c>
      <c r="W773" s="220">
        <f t="shared" si="116"/>
        <v>309436</v>
      </c>
      <c r="X773" s="221">
        <f t="shared" si="103"/>
        <v>0</v>
      </c>
    </row>
    <row r="774" spans="2:24" ht="110.25">
      <c r="B774" s="305"/>
      <c r="C774" s="305"/>
      <c r="D774" s="309"/>
      <c r="E774" s="51" t="s">
        <v>431</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3"/>
        <v>0</v>
      </c>
    </row>
    <row r="775" spans="2:24" ht="78.75">
      <c r="B775" s="305"/>
      <c r="C775" s="305"/>
      <c r="D775" s="309"/>
      <c r="E775" s="51" t="s">
        <v>573</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3"/>
        <v>0</v>
      </c>
    </row>
    <row r="776" spans="2:24" ht="110.25">
      <c r="B776" s="306"/>
      <c r="C776" s="306"/>
      <c r="D776" s="311"/>
      <c r="E776" s="51" t="s">
        <v>581</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3"/>
        <v>0</v>
      </c>
    </row>
    <row r="777" spans="2:24" ht="15.75">
      <c r="B777" s="304" t="s">
        <v>846</v>
      </c>
      <c r="C777" s="304" t="s">
        <v>218</v>
      </c>
      <c r="D777" s="308" t="s">
        <v>149</v>
      </c>
      <c r="E777" s="42"/>
      <c r="F777" s="57"/>
      <c r="G777" s="61"/>
      <c r="H777" s="225"/>
      <c r="I777" s="258"/>
      <c r="J777" s="220">
        <f>J778</f>
        <v>200000</v>
      </c>
      <c r="K777" s="220">
        <f aca="true" t="shared" si="117" ref="K777:W777">K778</f>
        <v>0</v>
      </c>
      <c r="L777" s="220">
        <f t="shared" si="117"/>
        <v>0</v>
      </c>
      <c r="M777" s="220">
        <f t="shared" si="117"/>
        <v>0</v>
      </c>
      <c r="N777" s="220">
        <f t="shared" si="117"/>
        <v>0</v>
      </c>
      <c r="O777" s="220">
        <f t="shared" si="117"/>
        <v>0</v>
      </c>
      <c r="P777" s="220">
        <f t="shared" si="117"/>
        <v>0</v>
      </c>
      <c r="Q777" s="220">
        <f t="shared" si="117"/>
        <v>0</v>
      </c>
      <c r="R777" s="220">
        <f t="shared" si="117"/>
        <v>100000</v>
      </c>
      <c r="S777" s="220">
        <f t="shared" si="117"/>
        <v>0</v>
      </c>
      <c r="T777" s="220">
        <f t="shared" si="117"/>
        <v>100000</v>
      </c>
      <c r="U777" s="220">
        <f t="shared" si="117"/>
        <v>0</v>
      </c>
      <c r="V777" s="220">
        <f t="shared" si="117"/>
        <v>0</v>
      </c>
      <c r="W777" s="220">
        <f t="shared" si="117"/>
        <v>0</v>
      </c>
      <c r="X777" s="221">
        <f t="shared" si="103"/>
        <v>100000</v>
      </c>
    </row>
    <row r="778" spans="2:24" ht="94.5">
      <c r="B778" s="306"/>
      <c r="C778" s="306"/>
      <c r="D778" s="311"/>
      <c r="E778" s="42" t="s">
        <v>695</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3"/>
        <v>100000</v>
      </c>
    </row>
    <row r="779" spans="2:24" ht="15.75">
      <c r="B779" s="197"/>
      <c r="C779" s="197"/>
      <c r="D779" s="199" t="s">
        <v>782</v>
      </c>
      <c r="E779" s="216"/>
      <c r="F779" s="43"/>
      <c r="G779" s="217"/>
      <c r="H779" s="255"/>
      <c r="I779" s="272"/>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44585619.419999994</v>
      </c>
      <c r="X779" s="221">
        <f t="shared" si="103"/>
        <v>97746397.53999999</v>
      </c>
    </row>
    <row r="780" spans="2:24" ht="126">
      <c r="B780" s="179">
        <v>180411</v>
      </c>
      <c r="C780" s="179"/>
      <c r="D780" s="179" t="s">
        <v>489</v>
      </c>
      <c r="E780" s="179" t="s">
        <v>138</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3"/>
        <v>38750447.55</v>
      </c>
    </row>
    <row r="781" spans="2:24" ht="15.75">
      <c r="B781" s="363" t="s">
        <v>813</v>
      </c>
      <c r="C781" s="364"/>
      <c r="D781" s="365"/>
      <c r="E781" s="180"/>
      <c r="F781" s="178"/>
      <c r="G781" s="218"/>
      <c r="H781" s="178"/>
      <c r="I781" s="273"/>
      <c r="J781" s="183">
        <f>J779+J780</f>
        <v>250647972.78999996</v>
      </c>
      <c r="K781" s="183">
        <f aca="true" t="shared" si="119" ref="K781:W781">K779+K780</f>
        <v>0</v>
      </c>
      <c r="L781" s="183">
        <f t="shared" si="119"/>
        <v>33486477.509999998</v>
      </c>
      <c r="M781" s="183">
        <f t="shared" si="119"/>
        <v>14676231.469999999</v>
      </c>
      <c r="N781" s="183">
        <f t="shared" si="119"/>
        <v>7000613.9</v>
      </c>
      <c r="O781" s="183">
        <f t="shared" si="119"/>
        <v>17624370.47</v>
      </c>
      <c r="P781" s="183">
        <f t="shared" si="119"/>
        <v>17943941.51</v>
      </c>
      <c r="Q781" s="183">
        <f t="shared" si="119"/>
        <v>37758702.190000005</v>
      </c>
      <c r="R781" s="183">
        <f t="shared" si="119"/>
        <v>52592127.45999999</v>
      </c>
      <c r="S781" s="183">
        <f t="shared" si="119"/>
        <v>47559626.72</v>
      </c>
      <c r="T781" s="183">
        <f t="shared" si="119"/>
        <v>11983897.36</v>
      </c>
      <c r="U781" s="183">
        <f t="shared" si="119"/>
        <v>4226712.2</v>
      </c>
      <c r="V781" s="183">
        <f t="shared" si="119"/>
        <v>5795272</v>
      </c>
      <c r="W781" s="183">
        <f t="shared" si="119"/>
        <v>44585619.419999994</v>
      </c>
      <c r="X781" s="221">
        <f t="shared" si="103"/>
        <v>136496845.09</v>
      </c>
    </row>
  </sheetData>
  <sheetProtection/>
  <mergeCells count="188">
    <mergeCell ref="E427:E428"/>
    <mergeCell ref="B13:I13"/>
    <mergeCell ref="C17:C26"/>
    <mergeCell ref="B30:B34"/>
    <mergeCell ref="C30:C34"/>
    <mergeCell ref="B27:B28"/>
    <mergeCell ref="D288:D290"/>
    <mergeCell ref="B271:B287"/>
    <mergeCell ref="C271:C287"/>
    <mergeCell ref="B402:B430"/>
    <mergeCell ref="B781:D781"/>
    <mergeCell ref="C296:C305"/>
    <mergeCell ref="D296:D305"/>
    <mergeCell ref="B269:B270"/>
    <mergeCell ref="C269:C270"/>
    <mergeCell ref="B777:B778"/>
    <mergeCell ref="C773:C776"/>
    <mergeCell ref="D773:D776"/>
    <mergeCell ref="D772:E772"/>
    <mergeCell ref="B732:B751"/>
    <mergeCell ref="B768:B771"/>
    <mergeCell ref="C768:C771"/>
    <mergeCell ref="D768:D771"/>
    <mergeCell ref="B773:B776"/>
    <mergeCell ref="B755:B766"/>
    <mergeCell ref="C777:C778"/>
    <mergeCell ref="D777:D778"/>
    <mergeCell ref="D438:E438"/>
    <mergeCell ref="D456:E456"/>
    <mergeCell ref="D582:E582"/>
    <mergeCell ref="C732:C751"/>
    <mergeCell ref="D732:D751"/>
    <mergeCell ref="C755:C766"/>
    <mergeCell ref="D755:D766"/>
    <mergeCell ref="D752:E752"/>
    <mergeCell ref="D29:E29"/>
    <mergeCell ref="D35:E35"/>
    <mergeCell ref="D325:E325"/>
    <mergeCell ref="D30:D34"/>
    <mergeCell ref="D36:D124"/>
    <mergeCell ref="E505:E506"/>
    <mergeCell ref="D229:D231"/>
    <mergeCell ref="D125:D219"/>
    <mergeCell ref="D326:D376"/>
    <mergeCell ref="C675:C726"/>
    <mergeCell ref="D675:D726"/>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C402:C430"/>
    <mergeCell ref="D402:D430"/>
    <mergeCell ref="B377:B401"/>
    <mergeCell ref="C377:C401"/>
    <mergeCell ref="D377:D401"/>
    <mergeCell ref="D17:D26"/>
    <mergeCell ref="D16:E16"/>
    <mergeCell ref="B17:B26"/>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2015-08-20T05:40:47Z</cp:lastPrinted>
  <dcterms:created xsi:type="dcterms:W3CDTF">2014-01-17T10:52:16Z</dcterms:created>
  <dcterms:modified xsi:type="dcterms:W3CDTF">2015-08-26T12:48:31Z</dcterms:modified>
  <cp:category/>
  <cp:version/>
  <cp:contentType/>
  <cp:contentStatus/>
</cp:coreProperties>
</file>